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OURCING &amp; BUSINESS DEVELOPMENT DIV\iktva Support Unit\iktva Certification\Survey &amp; Guide\2017\"/>
    </mc:Choice>
  </mc:AlternateContent>
  <workbookProtection workbookAlgorithmName="SHA-512" workbookHashValue="BNqsyY7mE6+kCMDpFI0dDawiiiolH/Et9vmbtAzowLI3F3X/FUIDDou+Ap+kcwkFXpq8v3Kbf7AImWons16Gzg==" workbookSaltValue="d+mSiKuQmeNGnUvURyIfdQ==" workbookSpinCount="100000" lockStructure="1"/>
  <bookViews>
    <workbookView xWindow="0" yWindow="0" windowWidth="15330" windowHeight="6960" firstSheet="3" activeTab="3"/>
  </bookViews>
  <sheets>
    <sheet name="Executive Summary" sheetId="53" state="hidden" r:id="rId1"/>
    <sheet name="Data" sheetId="52" state="hidden" r:id="rId2"/>
    <sheet name="Review 1" sheetId="8" state="hidden" r:id="rId3"/>
    <sheet name="Page 1. Company Information" sheetId="15" r:id="rId4"/>
    <sheet name="Page 2. IKTVA Schedule" sheetId="6" r:id="rId5"/>
    <sheet name="Page 3. In-Kingdom Suppliers" sheetId="16" r:id="rId6"/>
    <sheet name="Page 4. Top OOK Suppliers" sheetId="17" state="hidden" r:id="rId7"/>
    <sheet name="Page 4. Saudi Jobs" sheetId="58" r:id="rId8"/>
    <sheet name="Page 4. Saudi Jobs - Old" sheetId="59" state="hidden" r:id="rId9"/>
    <sheet name="Page 5. Capital Investmests" sheetId="55" r:id="rId10"/>
    <sheet name="Page 5a. CAPEX Table" sheetId="12" r:id="rId11"/>
    <sheet name="CAPEX Categories" sheetId="37" state="hidden" r:id="rId12"/>
    <sheet name="Page 6. Depreciation &amp; Amort" sheetId="13" r:id="rId13"/>
    <sheet name="Page 7. Female Employment" sheetId="48" r:id="rId14"/>
    <sheet name="IKTVA Certificate" sheetId="56" state="hidden" r:id="rId15"/>
    <sheet name="Modifications" sheetId="60" state="hidden" r:id="rId16"/>
    <sheet name="Flat File" sheetId="57" state="hidden" r:id="rId17"/>
  </sheets>
  <externalReferences>
    <externalReference r:id="rId18"/>
  </externalReferences>
  <definedNames>
    <definedName name="no" localSheetId="1">'CAPEX Categories'!#REF!</definedName>
    <definedName name="no" localSheetId="0">'CAPEX Categories'!#REF!</definedName>
    <definedName name="no" localSheetId="14">'[1]CAPEX Categories'!#REF!</definedName>
    <definedName name="no" localSheetId="8">'CAPEX Categories'!#REF!</definedName>
    <definedName name="no">'CAPEX Categories'!#REF!</definedName>
    <definedName name="_xlnm.Print_Area" localSheetId="11">'CAPEX Categories'!$D$4:$D$5</definedName>
    <definedName name="_xlnm.Print_Area" localSheetId="10">'Page 5a. CAPEX Table'!$A$1:$AU$52</definedName>
    <definedName name="_xlnm.Print_Titles" localSheetId="10">'Page 5a. CAPEX Table'!$A:$C,'Page 5a. CAPEX Table'!$1:$9</definedName>
    <definedName name="Y_N?">'Page 5a. CAPEX Table'!$BG$10:$BG$11</definedName>
    <definedName name="yes" localSheetId="1">'CAPEX Categories'!#REF!</definedName>
    <definedName name="yes" localSheetId="0">'CAPEX Categories'!#REF!</definedName>
    <definedName name="yes" localSheetId="14">'[1]CAPEX Categories'!#REF!</definedName>
    <definedName name="yes" localSheetId="8">'CAPEX Categories'!#REF!</definedName>
    <definedName name="yes">'CAPEX Categories'!#REF!</definedName>
  </definedNames>
  <calcPr calcId="152511"/>
</workbook>
</file>

<file path=xl/calcChain.xml><?xml version="1.0" encoding="utf-8"?>
<calcChain xmlns="http://schemas.openxmlformats.org/spreadsheetml/2006/main">
  <c r="L27" i="6" l="1"/>
  <c r="F12" i="8" l="1"/>
  <c r="G12" i="8"/>
  <c r="L12" i="8"/>
  <c r="M12" i="8"/>
  <c r="N12" i="8" l="1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A16" i="56" l="1"/>
  <c r="K10" i="57" l="1"/>
  <c r="K11" i="57"/>
  <c r="K12" i="57"/>
  <c r="K13" i="57"/>
  <c r="K14" i="57"/>
  <c r="K15" i="57"/>
  <c r="K16" i="57"/>
  <c r="K17" i="57"/>
  <c r="K18" i="57"/>
  <c r="J10" i="57"/>
  <c r="J11" i="57"/>
  <c r="J12" i="57"/>
  <c r="J13" i="57"/>
  <c r="J14" i="57"/>
  <c r="J15" i="57"/>
  <c r="J16" i="57"/>
  <c r="J17" i="57"/>
  <c r="J18" i="57"/>
  <c r="I10" i="57"/>
  <c r="I11" i="57"/>
  <c r="I12" i="57"/>
  <c r="I13" i="57"/>
  <c r="I14" i="57"/>
  <c r="I15" i="57"/>
  <c r="I16" i="57"/>
  <c r="I17" i="57"/>
  <c r="I18" i="57"/>
  <c r="H10" i="57"/>
  <c r="H11" i="57"/>
  <c r="H12" i="57"/>
  <c r="H13" i="57"/>
  <c r="H14" i="57"/>
  <c r="H15" i="57"/>
  <c r="H16" i="57"/>
  <c r="H17" i="57"/>
  <c r="H18" i="57"/>
  <c r="G10" i="57"/>
  <c r="G11" i="57"/>
  <c r="G12" i="57"/>
  <c r="G13" i="57"/>
  <c r="G14" i="57"/>
  <c r="G15" i="57"/>
  <c r="G16" i="57"/>
  <c r="G17" i="57"/>
  <c r="G18" i="57"/>
  <c r="F10" i="57"/>
  <c r="F11" i="57"/>
  <c r="F12" i="57"/>
  <c r="F13" i="57"/>
  <c r="F14" i="57"/>
  <c r="F15" i="57"/>
  <c r="F16" i="57"/>
  <c r="F17" i="57"/>
  <c r="F18" i="57"/>
  <c r="E10" i="57"/>
  <c r="E11" i="57"/>
  <c r="E12" i="57"/>
  <c r="E13" i="57"/>
  <c r="E14" i="57"/>
  <c r="E15" i="57"/>
  <c r="E16" i="57"/>
  <c r="E17" i="57"/>
  <c r="E18" i="57"/>
  <c r="D10" i="57"/>
  <c r="D11" i="57"/>
  <c r="D12" i="57"/>
  <c r="D13" i="57"/>
  <c r="D14" i="57"/>
  <c r="D15" i="57"/>
  <c r="D16" i="57"/>
  <c r="D17" i="57"/>
  <c r="D18" i="57"/>
  <c r="K9" i="57"/>
  <c r="J9" i="57"/>
  <c r="I9" i="57"/>
  <c r="H9" i="57"/>
  <c r="G9" i="57"/>
  <c r="F9" i="57"/>
  <c r="E9" i="57"/>
  <c r="D9" i="57"/>
  <c r="C10" i="57"/>
  <c r="C11" i="57"/>
  <c r="C12" i="57"/>
  <c r="C13" i="57"/>
  <c r="C14" i="57"/>
  <c r="C15" i="57"/>
  <c r="C16" i="57"/>
  <c r="C17" i="57"/>
  <c r="C18" i="57"/>
  <c r="B10" i="57"/>
  <c r="B11" i="57"/>
  <c r="B12" i="57"/>
  <c r="B13" i="57"/>
  <c r="B14" i="57"/>
  <c r="B15" i="57"/>
  <c r="B16" i="57"/>
  <c r="B17" i="57"/>
  <c r="B18" i="57"/>
  <c r="A18" i="57"/>
  <c r="A17" i="57"/>
  <c r="A16" i="57"/>
  <c r="A15" i="57"/>
  <c r="A14" i="57"/>
  <c r="A13" i="57"/>
  <c r="A12" i="57"/>
  <c r="A11" i="57"/>
  <c r="A10" i="57"/>
  <c r="C9" i="57"/>
  <c r="B9" i="57"/>
  <c r="A9" i="57"/>
  <c r="N62" i="16" l="1"/>
  <c r="I62" i="16"/>
  <c r="R57" i="16"/>
  <c r="M57" i="16"/>
  <c r="K57" i="16"/>
  <c r="L57" i="16" s="1"/>
  <c r="H57" i="16"/>
  <c r="R56" i="16"/>
  <c r="O56" i="16"/>
  <c r="P56" i="16" s="1"/>
  <c r="M56" i="16"/>
  <c r="K56" i="16"/>
  <c r="T56" i="16"/>
  <c r="U56" i="16" s="1"/>
  <c r="H56" i="16"/>
  <c r="L56" i="16" s="1"/>
  <c r="V56" i="16" l="1"/>
  <c r="O57" i="16"/>
  <c r="P57" i="16" s="1"/>
  <c r="Q57" i="16" s="1"/>
  <c r="T57" i="16"/>
  <c r="U57" i="16" s="1"/>
  <c r="V57" i="16" s="1"/>
  <c r="Q56" i="16"/>
  <c r="K8" i="16" l="1"/>
  <c r="N17" i="58" l="1"/>
  <c r="N16" i="58"/>
  <c r="N15" i="58"/>
  <c r="N14" i="58"/>
  <c r="N13" i="58"/>
  <c r="N12" i="58"/>
  <c r="N11" i="58"/>
  <c r="N10" i="58"/>
  <c r="N9" i="58"/>
  <c r="N8" i="58"/>
  <c r="M17" i="58"/>
  <c r="M16" i="58"/>
  <c r="M15" i="58"/>
  <c r="M14" i="58"/>
  <c r="M13" i="58"/>
  <c r="M12" i="58"/>
  <c r="M11" i="58"/>
  <c r="M10" i="58"/>
  <c r="M9" i="58"/>
  <c r="M8" i="58"/>
  <c r="L17" i="58"/>
  <c r="L16" i="58"/>
  <c r="L15" i="58"/>
  <c r="L14" i="58"/>
  <c r="L13" i="58"/>
  <c r="L12" i="58"/>
  <c r="L11" i="58"/>
  <c r="I18" i="58"/>
  <c r="M19" i="6" s="1"/>
  <c r="J18" i="58"/>
  <c r="K17" i="58"/>
  <c r="K16" i="58"/>
  <c r="K15" i="58"/>
  <c r="K14" i="58"/>
  <c r="K13" i="58"/>
  <c r="K12" i="58"/>
  <c r="K11" i="58"/>
  <c r="K10" i="58"/>
  <c r="L10" i="58" s="1"/>
  <c r="K9" i="58"/>
  <c r="L9" i="58" s="1"/>
  <c r="K8" i="58"/>
  <c r="L8" i="58" s="1"/>
  <c r="H17" i="58"/>
  <c r="H16" i="58"/>
  <c r="H15" i="58"/>
  <c r="H14" i="58"/>
  <c r="H13" i="58"/>
  <c r="H12" i="58"/>
  <c r="H11" i="58"/>
  <c r="E18" i="58"/>
  <c r="F18" i="58"/>
  <c r="G17" i="58"/>
  <c r="G16" i="58"/>
  <c r="G15" i="58"/>
  <c r="G14" i="58"/>
  <c r="G13" i="58"/>
  <c r="G12" i="58"/>
  <c r="G11" i="58"/>
  <c r="G10" i="58"/>
  <c r="H10" i="58" s="1"/>
  <c r="G9" i="58"/>
  <c r="H9" i="58" s="1"/>
  <c r="G8" i="58"/>
  <c r="H8" i="58" s="1"/>
  <c r="M18" i="58" l="1"/>
  <c r="K18" i="58"/>
  <c r="G18" i="58"/>
  <c r="K20" i="6" s="1"/>
  <c r="N18" i="58"/>
  <c r="K19" i="6"/>
  <c r="M32" i="6"/>
  <c r="H18" i="58" l="1"/>
  <c r="M20" i="6"/>
  <c r="L18" i="58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49" i="16"/>
  <c r="T50" i="16"/>
  <c r="T51" i="16"/>
  <c r="T52" i="16"/>
  <c r="T53" i="16"/>
  <c r="T54" i="16"/>
  <c r="T55" i="16"/>
  <c r="T58" i="16"/>
  <c r="T59" i="16"/>
  <c r="T60" i="16"/>
  <c r="T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8" i="16"/>
  <c r="O59" i="16"/>
  <c r="O60" i="16"/>
  <c r="O8" i="16"/>
  <c r="K29" i="6" l="1"/>
  <c r="I29" i="6"/>
  <c r="L86" i="59" l="1"/>
  <c r="J85" i="59"/>
  <c r="K85" i="59" s="1"/>
  <c r="J87" i="59"/>
  <c r="K87" i="59" s="1"/>
  <c r="L87" i="59"/>
  <c r="M87" i="59"/>
  <c r="L85" i="59"/>
  <c r="M85" i="59"/>
  <c r="F87" i="59"/>
  <c r="G87" i="59"/>
  <c r="F85" i="59"/>
  <c r="G85" i="59"/>
  <c r="F88" i="59" l="1"/>
  <c r="G88" i="59" s="1"/>
  <c r="J54" i="59"/>
  <c r="K54" i="59" s="1"/>
  <c r="L54" i="59"/>
  <c r="M54" i="59"/>
  <c r="J55" i="59"/>
  <c r="K55" i="59" s="1"/>
  <c r="L55" i="59"/>
  <c r="M55" i="59"/>
  <c r="J56" i="59"/>
  <c r="K56" i="59" s="1"/>
  <c r="L56" i="59"/>
  <c r="M56" i="59"/>
  <c r="J57" i="59"/>
  <c r="K57" i="59" s="1"/>
  <c r="L57" i="59"/>
  <c r="M57" i="59"/>
  <c r="J58" i="59"/>
  <c r="K58" i="59" s="1"/>
  <c r="L58" i="59"/>
  <c r="M58" i="59"/>
  <c r="J59" i="59"/>
  <c r="K59" i="59" s="1"/>
  <c r="L59" i="59"/>
  <c r="M59" i="59"/>
  <c r="J60" i="59"/>
  <c r="K60" i="59" s="1"/>
  <c r="L60" i="59"/>
  <c r="M60" i="59"/>
  <c r="J61" i="59"/>
  <c r="K61" i="59" s="1"/>
  <c r="L61" i="59"/>
  <c r="M61" i="59"/>
  <c r="J62" i="59"/>
  <c r="K62" i="59" s="1"/>
  <c r="L62" i="59"/>
  <c r="M62" i="59"/>
  <c r="J63" i="59"/>
  <c r="K63" i="59" s="1"/>
  <c r="L63" i="59"/>
  <c r="M63" i="59"/>
  <c r="J64" i="59"/>
  <c r="K64" i="59" s="1"/>
  <c r="L64" i="59"/>
  <c r="M64" i="59"/>
  <c r="J65" i="59"/>
  <c r="K65" i="59" s="1"/>
  <c r="L65" i="59"/>
  <c r="M65" i="59"/>
  <c r="J66" i="59"/>
  <c r="K66" i="59" s="1"/>
  <c r="L66" i="59"/>
  <c r="M66" i="59"/>
  <c r="J67" i="59"/>
  <c r="K67" i="59" s="1"/>
  <c r="L67" i="59"/>
  <c r="M67" i="59"/>
  <c r="J68" i="59"/>
  <c r="K68" i="59" s="1"/>
  <c r="L68" i="59"/>
  <c r="M68" i="59"/>
  <c r="J69" i="59"/>
  <c r="K69" i="59" s="1"/>
  <c r="L69" i="59"/>
  <c r="M69" i="59"/>
  <c r="J70" i="59"/>
  <c r="K70" i="59" s="1"/>
  <c r="L70" i="59"/>
  <c r="M70" i="59"/>
  <c r="J71" i="59"/>
  <c r="K71" i="59" s="1"/>
  <c r="L71" i="59"/>
  <c r="M71" i="59"/>
  <c r="J72" i="59"/>
  <c r="K72" i="59" s="1"/>
  <c r="L72" i="59"/>
  <c r="M72" i="59"/>
  <c r="J73" i="59"/>
  <c r="K73" i="59" s="1"/>
  <c r="L73" i="59"/>
  <c r="M73" i="59"/>
  <c r="J74" i="59"/>
  <c r="K74" i="59" s="1"/>
  <c r="L74" i="59"/>
  <c r="M74" i="59"/>
  <c r="J75" i="59"/>
  <c r="K75" i="59" s="1"/>
  <c r="L75" i="59"/>
  <c r="M75" i="59"/>
  <c r="J76" i="59"/>
  <c r="K76" i="59" s="1"/>
  <c r="L76" i="59"/>
  <c r="M76" i="59"/>
  <c r="J77" i="59"/>
  <c r="K77" i="59" s="1"/>
  <c r="L77" i="59"/>
  <c r="M77" i="59"/>
  <c r="J78" i="59"/>
  <c r="K78" i="59" s="1"/>
  <c r="L78" i="59"/>
  <c r="M78" i="59"/>
  <c r="J79" i="59"/>
  <c r="K79" i="59" s="1"/>
  <c r="L79" i="59"/>
  <c r="M79" i="59"/>
  <c r="J80" i="59"/>
  <c r="K80" i="59" s="1"/>
  <c r="L80" i="59"/>
  <c r="M80" i="59"/>
  <c r="J81" i="59"/>
  <c r="K81" i="59" s="1"/>
  <c r="L81" i="59"/>
  <c r="M81" i="59"/>
  <c r="J82" i="59"/>
  <c r="K82" i="59" s="1"/>
  <c r="L82" i="59"/>
  <c r="M82" i="59"/>
  <c r="J83" i="59"/>
  <c r="K83" i="59" s="1"/>
  <c r="L83" i="59"/>
  <c r="M83" i="59"/>
  <c r="J84" i="59"/>
  <c r="K84" i="59" s="1"/>
  <c r="L84" i="59"/>
  <c r="M84" i="59"/>
  <c r="J86" i="59"/>
  <c r="K86" i="59" s="1"/>
  <c r="M86" i="59"/>
  <c r="F54" i="59"/>
  <c r="G54" i="59" s="1"/>
  <c r="F55" i="59"/>
  <c r="G55" i="59" s="1"/>
  <c r="F56" i="59"/>
  <c r="G56" i="59" s="1"/>
  <c r="F57" i="59"/>
  <c r="G57" i="59" s="1"/>
  <c r="F58" i="59"/>
  <c r="G58" i="59" s="1"/>
  <c r="F59" i="59"/>
  <c r="G59" i="59" s="1"/>
  <c r="F60" i="59"/>
  <c r="G60" i="59" s="1"/>
  <c r="F61" i="59"/>
  <c r="G61" i="59" s="1"/>
  <c r="F62" i="59"/>
  <c r="G62" i="59" s="1"/>
  <c r="F63" i="59"/>
  <c r="G63" i="59" s="1"/>
  <c r="F64" i="59"/>
  <c r="G64" i="59" s="1"/>
  <c r="F65" i="59"/>
  <c r="G65" i="59" s="1"/>
  <c r="F66" i="59"/>
  <c r="G66" i="59" s="1"/>
  <c r="F67" i="59"/>
  <c r="G67" i="59" s="1"/>
  <c r="F68" i="59"/>
  <c r="G68" i="59" s="1"/>
  <c r="F69" i="59"/>
  <c r="G69" i="59" s="1"/>
  <c r="F70" i="59"/>
  <c r="G70" i="59" s="1"/>
  <c r="F71" i="59"/>
  <c r="G71" i="59" s="1"/>
  <c r="F72" i="59"/>
  <c r="G72" i="59" s="1"/>
  <c r="F73" i="59"/>
  <c r="G73" i="59" s="1"/>
  <c r="F74" i="59"/>
  <c r="G74" i="59" s="1"/>
  <c r="F75" i="59"/>
  <c r="G75" i="59" s="1"/>
  <c r="F76" i="59"/>
  <c r="G76" i="59" s="1"/>
  <c r="F77" i="59"/>
  <c r="G77" i="59" s="1"/>
  <c r="F78" i="59"/>
  <c r="G78" i="59" s="1"/>
  <c r="F79" i="59"/>
  <c r="G79" i="59" s="1"/>
  <c r="F80" i="59"/>
  <c r="G80" i="59" s="1"/>
  <c r="F81" i="59"/>
  <c r="G81" i="59" s="1"/>
  <c r="F82" i="59"/>
  <c r="G82" i="59" s="1"/>
  <c r="F83" i="59"/>
  <c r="G83" i="59" s="1"/>
  <c r="F84" i="59"/>
  <c r="G84" i="59" s="1"/>
  <c r="F86" i="59"/>
  <c r="G86" i="59" s="1"/>
  <c r="E89" i="59"/>
  <c r="D89" i="59"/>
  <c r="L88" i="59"/>
  <c r="M88" i="59"/>
  <c r="J88" i="59"/>
  <c r="K88" i="59" s="1"/>
  <c r="I89" i="59"/>
  <c r="H89" i="59"/>
  <c r="M9" i="59"/>
  <c r="L9" i="59"/>
  <c r="J9" i="59"/>
  <c r="K9" i="59" s="1"/>
  <c r="J17" i="59"/>
  <c r="K17" i="59" s="1"/>
  <c r="L17" i="59"/>
  <c r="M17" i="59"/>
  <c r="J18" i="59"/>
  <c r="K18" i="59" s="1"/>
  <c r="L18" i="59"/>
  <c r="M18" i="59"/>
  <c r="J19" i="59"/>
  <c r="K19" i="59" s="1"/>
  <c r="L19" i="59"/>
  <c r="M19" i="59"/>
  <c r="J20" i="59"/>
  <c r="K20" i="59" s="1"/>
  <c r="L20" i="59"/>
  <c r="M20" i="59"/>
  <c r="J21" i="59"/>
  <c r="K21" i="59" s="1"/>
  <c r="L21" i="59"/>
  <c r="M21" i="59"/>
  <c r="J22" i="59"/>
  <c r="K22" i="59" s="1"/>
  <c r="L22" i="59"/>
  <c r="M22" i="59"/>
  <c r="J23" i="59"/>
  <c r="K23" i="59" s="1"/>
  <c r="L23" i="59"/>
  <c r="M23" i="59"/>
  <c r="J24" i="59"/>
  <c r="K24" i="59" s="1"/>
  <c r="L24" i="59"/>
  <c r="M24" i="59"/>
  <c r="J25" i="59"/>
  <c r="K25" i="59" s="1"/>
  <c r="L25" i="59"/>
  <c r="M25" i="59"/>
  <c r="J26" i="59"/>
  <c r="K26" i="59" s="1"/>
  <c r="L26" i="59"/>
  <c r="M26" i="59"/>
  <c r="J27" i="59"/>
  <c r="K27" i="59" s="1"/>
  <c r="L27" i="59"/>
  <c r="M27" i="59"/>
  <c r="J28" i="59"/>
  <c r="K28" i="59" s="1"/>
  <c r="L28" i="59"/>
  <c r="M28" i="59"/>
  <c r="J29" i="59"/>
  <c r="K29" i="59" s="1"/>
  <c r="L29" i="59"/>
  <c r="M29" i="59"/>
  <c r="J30" i="59"/>
  <c r="K30" i="59" s="1"/>
  <c r="L30" i="59"/>
  <c r="M30" i="59"/>
  <c r="J31" i="59"/>
  <c r="K31" i="59" s="1"/>
  <c r="L31" i="59"/>
  <c r="M31" i="59"/>
  <c r="J32" i="59"/>
  <c r="K32" i="59" s="1"/>
  <c r="L32" i="59"/>
  <c r="M32" i="59"/>
  <c r="J33" i="59"/>
  <c r="K33" i="59" s="1"/>
  <c r="L33" i="59"/>
  <c r="M33" i="59"/>
  <c r="J34" i="59"/>
  <c r="K34" i="59" s="1"/>
  <c r="L34" i="59"/>
  <c r="M34" i="59"/>
  <c r="J35" i="59"/>
  <c r="K35" i="59" s="1"/>
  <c r="L35" i="59"/>
  <c r="M35" i="59"/>
  <c r="J36" i="59"/>
  <c r="K36" i="59" s="1"/>
  <c r="L36" i="59"/>
  <c r="M36" i="59"/>
  <c r="J37" i="59"/>
  <c r="K37" i="59" s="1"/>
  <c r="L37" i="59"/>
  <c r="M37" i="59"/>
  <c r="J38" i="59"/>
  <c r="K38" i="59" s="1"/>
  <c r="L38" i="59"/>
  <c r="M38" i="59"/>
  <c r="J39" i="59"/>
  <c r="K39" i="59" s="1"/>
  <c r="L39" i="59"/>
  <c r="M39" i="59"/>
  <c r="J40" i="59"/>
  <c r="K40" i="59" s="1"/>
  <c r="L40" i="59"/>
  <c r="M40" i="59"/>
  <c r="J41" i="59"/>
  <c r="K41" i="59" s="1"/>
  <c r="L41" i="59"/>
  <c r="M41" i="59"/>
  <c r="J42" i="59"/>
  <c r="K42" i="59" s="1"/>
  <c r="L42" i="59"/>
  <c r="M42" i="59"/>
  <c r="J43" i="59"/>
  <c r="K43" i="59" s="1"/>
  <c r="L43" i="59"/>
  <c r="M43" i="59"/>
  <c r="J44" i="59"/>
  <c r="K44" i="59" s="1"/>
  <c r="L44" i="59"/>
  <c r="M44" i="59"/>
  <c r="J45" i="59"/>
  <c r="K45" i="59" s="1"/>
  <c r="L45" i="59"/>
  <c r="M45" i="59"/>
  <c r="J46" i="59"/>
  <c r="K46" i="59" s="1"/>
  <c r="L46" i="59"/>
  <c r="M46" i="59"/>
  <c r="J47" i="59"/>
  <c r="K47" i="59" s="1"/>
  <c r="L47" i="59"/>
  <c r="M47" i="59"/>
  <c r="J48" i="59"/>
  <c r="K48" i="59" s="1"/>
  <c r="L48" i="59"/>
  <c r="M48" i="59"/>
  <c r="J49" i="59"/>
  <c r="K49" i="59" s="1"/>
  <c r="L49" i="59"/>
  <c r="M49" i="59"/>
  <c r="J50" i="59"/>
  <c r="K50" i="59" s="1"/>
  <c r="L50" i="59"/>
  <c r="M50" i="59"/>
  <c r="J51" i="59"/>
  <c r="K51" i="59" s="1"/>
  <c r="L51" i="59"/>
  <c r="M51" i="59"/>
  <c r="J52" i="59"/>
  <c r="K52" i="59" s="1"/>
  <c r="L52" i="59"/>
  <c r="M52" i="59"/>
  <c r="J53" i="59"/>
  <c r="K53" i="59" s="1"/>
  <c r="L53" i="59"/>
  <c r="M53" i="59"/>
  <c r="F17" i="59"/>
  <c r="G17" i="59" s="1"/>
  <c r="F18" i="59"/>
  <c r="G18" i="59" s="1"/>
  <c r="F19" i="59"/>
  <c r="G19" i="59" s="1"/>
  <c r="F20" i="59"/>
  <c r="G20" i="59" s="1"/>
  <c r="F21" i="59"/>
  <c r="G21" i="59" s="1"/>
  <c r="F22" i="59"/>
  <c r="G22" i="59" s="1"/>
  <c r="F23" i="59"/>
  <c r="G23" i="59" s="1"/>
  <c r="F24" i="59"/>
  <c r="G24" i="59" s="1"/>
  <c r="F25" i="59"/>
  <c r="G25" i="59" s="1"/>
  <c r="F26" i="59"/>
  <c r="G26" i="59" s="1"/>
  <c r="F27" i="59"/>
  <c r="G27" i="59" s="1"/>
  <c r="F28" i="59"/>
  <c r="G28" i="59" s="1"/>
  <c r="F29" i="59"/>
  <c r="G29" i="59" s="1"/>
  <c r="F30" i="59"/>
  <c r="G30" i="59" s="1"/>
  <c r="F31" i="59"/>
  <c r="G31" i="59" s="1"/>
  <c r="F32" i="59"/>
  <c r="G32" i="59" s="1"/>
  <c r="F33" i="59"/>
  <c r="G33" i="59" s="1"/>
  <c r="F34" i="59"/>
  <c r="G34" i="59" s="1"/>
  <c r="F35" i="59"/>
  <c r="G35" i="59" s="1"/>
  <c r="F36" i="59"/>
  <c r="G36" i="59" s="1"/>
  <c r="F37" i="59"/>
  <c r="G37" i="59" s="1"/>
  <c r="F38" i="59"/>
  <c r="G38" i="59" s="1"/>
  <c r="F39" i="59"/>
  <c r="G39" i="59" s="1"/>
  <c r="F40" i="59"/>
  <c r="G40" i="59" s="1"/>
  <c r="F41" i="59"/>
  <c r="G41" i="59" s="1"/>
  <c r="F42" i="59"/>
  <c r="G42" i="59" s="1"/>
  <c r="F43" i="59"/>
  <c r="G43" i="59" s="1"/>
  <c r="F44" i="59"/>
  <c r="G44" i="59" s="1"/>
  <c r="F45" i="59"/>
  <c r="G45" i="59" s="1"/>
  <c r="F46" i="59"/>
  <c r="G46" i="59" s="1"/>
  <c r="F47" i="59"/>
  <c r="G47" i="59" s="1"/>
  <c r="F48" i="59"/>
  <c r="G48" i="59" s="1"/>
  <c r="F49" i="59"/>
  <c r="G49" i="59" s="1"/>
  <c r="F50" i="59"/>
  <c r="G50" i="59" s="1"/>
  <c r="F51" i="59"/>
  <c r="G51" i="59" s="1"/>
  <c r="F52" i="59"/>
  <c r="G52" i="59" s="1"/>
  <c r="F53" i="59"/>
  <c r="G53" i="59" s="1"/>
  <c r="F10" i="59"/>
  <c r="F9" i="59"/>
  <c r="G9" i="59" s="1"/>
  <c r="L12" i="59"/>
  <c r="L11" i="59"/>
  <c r="L10" i="59"/>
  <c r="F14" i="59"/>
  <c r="G14" i="59" s="1"/>
  <c r="F13" i="59"/>
  <c r="G13" i="59" s="1"/>
  <c r="F12" i="59"/>
  <c r="G12" i="59" s="1"/>
  <c r="F11" i="59"/>
  <c r="G11" i="59" s="1"/>
  <c r="L89" i="59" l="1"/>
  <c r="G10" i="59"/>
  <c r="M89" i="59"/>
  <c r="M16" i="59" l="1"/>
  <c r="L16" i="59"/>
  <c r="J16" i="59"/>
  <c r="K16" i="59" s="1"/>
  <c r="F16" i="59"/>
  <c r="G16" i="59" s="1"/>
  <c r="M15" i="59"/>
  <c r="L15" i="59"/>
  <c r="J15" i="59"/>
  <c r="K15" i="59" s="1"/>
  <c r="F15" i="59"/>
  <c r="M14" i="59"/>
  <c r="L14" i="59"/>
  <c r="J14" i="59"/>
  <c r="K14" i="59" s="1"/>
  <c r="M13" i="59"/>
  <c r="L13" i="59"/>
  <c r="J13" i="59"/>
  <c r="K13" i="59" s="1"/>
  <c r="M12" i="59"/>
  <c r="J12" i="59"/>
  <c r="K12" i="59" s="1"/>
  <c r="M11" i="59"/>
  <c r="J11" i="59"/>
  <c r="M10" i="59"/>
  <c r="J10" i="59"/>
  <c r="K10" i="59" s="1"/>
  <c r="H7" i="59"/>
  <c r="D7" i="59" s="1"/>
  <c r="A1" i="59"/>
  <c r="F89" i="59" l="1"/>
  <c r="G15" i="59"/>
  <c r="K11" i="59"/>
  <c r="J89" i="59"/>
  <c r="L7" i="59"/>
  <c r="G89" i="59" l="1"/>
  <c r="K89" i="59"/>
  <c r="L19" i="6" l="1"/>
  <c r="J19" i="6"/>
  <c r="H19" i="6"/>
  <c r="I6" i="58" l="1"/>
  <c r="A1" i="58"/>
  <c r="E6" i="58" l="1"/>
  <c r="AP2" i="57"/>
  <c r="BQ2" i="57"/>
  <c r="BU2" i="57"/>
  <c r="BT2" i="57"/>
  <c r="BS2" i="57"/>
  <c r="BR2" i="57"/>
  <c r="BP2" i="57"/>
  <c r="BN2" i="57"/>
  <c r="BI2" i="57"/>
  <c r="BH2" i="57"/>
  <c r="BG2" i="57"/>
  <c r="AT2" i="57"/>
  <c r="AU2" i="57"/>
  <c r="AS2" i="57"/>
  <c r="AR2" i="57"/>
  <c r="AN2" i="57"/>
  <c r="AI2" i="57"/>
  <c r="AH2" i="57"/>
  <c r="AG2" i="57"/>
  <c r="U2" i="57"/>
  <c r="T2" i="57"/>
  <c r="S2" i="57"/>
  <c r="Q2" i="57"/>
  <c r="M6" i="58" l="1"/>
  <c r="K2" i="57"/>
  <c r="J2" i="57"/>
  <c r="I2" i="57"/>
  <c r="AQ2" i="57" l="1"/>
  <c r="M45" i="8"/>
  <c r="E12" i="48"/>
  <c r="L2" i="57" l="1"/>
  <c r="I44" i="6"/>
  <c r="P2" i="57" s="1"/>
  <c r="H29" i="6" l="1"/>
  <c r="E2" i="57" s="1"/>
  <c r="H13" i="6"/>
  <c r="G2" i="57" s="1"/>
  <c r="H27" i="6" l="1"/>
  <c r="D2" i="57" s="1"/>
  <c r="H25" i="6"/>
  <c r="C2" i="57" s="1"/>
  <c r="H21" i="6"/>
  <c r="B2" i="57" s="1"/>
  <c r="R2" i="57"/>
  <c r="K11" i="56" l="1"/>
  <c r="R55" i="16" l="1"/>
  <c r="M61" i="16" l="1"/>
  <c r="M60" i="16"/>
  <c r="M59" i="16"/>
  <c r="M58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H61" i="16"/>
  <c r="H60" i="16"/>
  <c r="H59" i="16"/>
  <c r="H58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A2" i="53"/>
  <c r="E4" i="53" l="1"/>
  <c r="D4" i="53"/>
  <c r="B30" i="52"/>
  <c r="B29" i="52"/>
  <c r="B28" i="52"/>
  <c r="J5" i="52"/>
  <c r="D52" i="12" l="1"/>
  <c r="F51" i="12"/>
  <c r="G51" i="12" s="1"/>
  <c r="F50" i="12"/>
  <c r="G50" i="12" s="1"/>
  <c r="F49" i="12"/>
  <c r="G49" i="12" s="1"/>
  <c r="F48" i="12"/>
  <c r="G48" i="12" s="1"/>
  <c r="F47" i="12"/>
  <c r="G47" i="12" s="1"/>
  <c r="F46" i="12"/>
  <c r="G46" i="12" s="1"/>
  <c r="F45" i="12"/>
  <c r="G45" i="12" s="1"/>
  <c r="F44" i="12"/>
  <c r="G44" i="12" s="1"/>
  <c r="F43" i="12"/>
  <c r="G43" i="12" s="1"/>
  <c r="F42" i="12"/>
  <c r="G42" i="12" s="1"/>
  <c r="F41" i="12"/>
  <c r="G41" i="12" s="1"/>
  <c r="F40" i="12"/>
  <c r="G40" i="12" s="1"/>
  <c r="F39" i="12"/>
  <c r="G39" i="12" s="1"/>
  <c r="F38" i="12"/>
  <c r="G38" i="12" s="1"/>
  <c r="F37" i="12"/>
  <c r="G37" i="12" s="1"/>
  <c r="F36" i="12"/>
  <c r="G36" i="12" s="1"/>
  <c r="F35" i="12"/>
  <c r="G35" i="12" s="1"/>
  <c r="F34" i="12"/>
  <c r="G34" i="12" s="1"/>
  <c r="F33" i="12"/>
  <c r="G33" i="12" s="1"/>
  <c r="F32" i="12"/>
  <c r="G32" i="12" s="1"/>
  <c r="F31" i="12"/>
  <c r="G31" i="12" s="1"/>
  <c r="F30" i="12"/>
  <c r="G30" i="12" s="1"/>
  <c r="F29" i="12"/>
  <c r="G29" i="12" s="1"/>
  <c r="F28" i="12"/>
  <c r="G28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G10" i="12" s="1"/>
  <c r="G8" i="12"/>
  <c r="F8" i="12"/>
  <c r="E8" i="12"/>
  <c r="J51" i="12"/>
  <c r="J42" i="12"/>
  <c r="C18" i="55" l="1"/>
  <c r="G52" i="12"/>
  <c r="D18" i="55" s="1"/>
  <c r="A1" i="55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V41" i="12"/>
  <c r="V40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V10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AD41" i="12"/>
  <c r="AD40" i="12"/>
  <c r="AD39" i="12"/>
  <c r="AD38" i="12"/>
  <c r="AD37" i="12"/>
  <c r="AD36" i="12"/>
  <c r="AD35" i="12"/>
  <c r="AD34" i="12"/>
  <c r="AD33" i="12"/>
  <c r="A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H41" i="12"/>
  <c r="AH40" i="12"/>
  <c r="AH39" i="12"/>
  <c r="AH38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L41" i="12"/>
  <c r="AL40" i="12"/>
  <c r="AL39" i="12"/>
  <c r="AL38" i="12"/>
  <c r="AL37" i="12"/>
  <c r="AL36" i="12"/>
  <c r="AL35" i="12"/>
  <c r="AL34" i="12"/>
  <c r="AL33" i="12"/>
  <c r="AL32" i="12"/>
  <c r="AL31" i="12"/>
  <c r="AL30" i="12"/>
  <c r="AL29" i="12"/>
  <c r="AL28" i="12"/>
  <c r="AL27" i="12"/>
  <c r="AL26" i="12"/>
  <c r="AL25" i="12"/>
  <c r="AL24" i="12"/>
  <c r="AL23" i="12"/>
  <c r="AL22" i="12"/>
  <c r="AL21" i="12"/>
  <c r="AL20" i="12"/>
  <c r="AL19" i="12"/>
  <c r="AL18" i="12"/>
  <c r="AL17" i="12"/>
  <c r="AL16" i="12"/>
  <c r="AL15" i="12"/>
  <c r="AL14" i="12"/>
  <c r="AL13" i="12"/>
  <c r="AL12" i="12"/>
  <c r="AL11" i="12"/>
  <c r="AL10" i="12"/>
  <c r="J50" i="12"/>
  <c r="J49" i="12"/>
  <c r="J48" i="12"/>
  <c r="J47" i="12"/>
  <c r="J46" i="12"/>
  <c r="J45" i="12"/>
  <c r="J44" i="12"/>
  <c r="J43" i="12"/>
  <c r="N51" i="12"/>
  <c r="N50" i="12"/>
  <c r="N49" i="12"/>
  <c r="N48" i="12"/>
  <c r="N47" i="12"/>
  <c r="N46" i="12"/>
  <c r="N45" i="12"/>
  <c r="N44" i="12"/>
  <c r="N43" i="12"/>
  <c r="N42" i="12"/>
  <c r="R51" i="12"/>
  <c r="R50" i="12"/>
  <c r="R49" i="12"/>
  <c r="R48" i="12"/>
  <c r="R47" i="12"/>
  <c r="R46" i="12"/>
  <c r="R45" i="12"/>
  <c r="R44" i="12"/>
  <c r="R43" i="12"/>
  <c r="R42" i="12"/>
  <c r="V51" i="12"/>
  <c r="V50" i="12"/>
  <c r="V49" i="12"/>
  <c r="V48" i="12"/>
  <c r="V47" i="12"/>
  <c r="V46" i="12"/>
  <c r="V45" i="12"/>
  <c r="V44" i="12"/>
  <c r="V43" i="12"/>
  <c r="V42" i="12"/>
  <c r="Z51" i="12"/>
  <c r="Z50" i="12"/>
  <c r="Z49" i="12"/>
  <c r="Z48" i="12"/>
  <c r="Z47" i="12"/>
  <c r="Z46" i="12"/>
  <c r="Z45" i="12"/>
  <c r="Z44" i="12"/>
  <c r="Z43" i="12"/>
  <c r="Z42" i="12"/>
  <c r="AD51" i="12"/>
  <c r="AD50" i="12"/>
  <c r="AD49" i="12"/>
  <c r="AD48" i="12"/>
  <c r="AD47" i="12"/>
  <c r="AD46" i="12"/>
  <c r="AD45" i="12"/>
  <c r="AD44" i="12"/>
  <c r="AD43" i="12"/>
  <c r="AD42" i="12"/>
  <c r="AH51" i="12"/>
  <c r="AH50" i="12"/>
  <c r="AH49" i="12"/>
  <c r="AH48" i="12"/>
  <c r="AH47" i="12"/>
  <c r="AH46" i="12"/>
  <c r="AH45" i="12"/>
  <c r="AH44" i="12"/>
  <c r="AH43" i="12"/>
  <c r="AH42" i="12"/>
  <c r="AL51" i="12"/>
  <c r="AL50" i="12"/>
  <c r="AL49" i="12"/>
  <c r="AL48" i="12"/>
  <c r="AL47" i="12"/>
  <c r="AL46" i="12"/>
  <c r="AL45" i="12"/>
  <c r="AL44" i="12"/>
  <c r="AL43" i="12"/>
  <c r="AL42" i="12"/>
  <c r="AP51" i="12"/>
  <c r="AP50" i="12"/>
  <c r="AP49" i="12"/>
  <c r="AP48" i="12"/>
  <c r="AP47" i="12"/>
  <c r="AP46" i="12"/>
  <c r="AP45" i="12"/>
  <c r="AP44" i="12"/>
  <c r="AP43" i="12"/>
  <c r="AP42" i="12"/>
  <c r="AT51" i="12"/>
  <c r="AT50" i="12"/>
  <c r="AT49" i="12"/>
  <c r="AT48" i="12"/>
  <c r="AT47" i="12"/>
  <c r="AT46" i="12"/>
  <c r="AT45" i="12"/>
  <c r="AT44" i="12"/>
  <c r="AT43" i="12"/>
  <c r="AT42" i="12"/>
  <c r="B7" i="13" l="1"/>
  <c r="C7" i="13" s="1"/>
  <c r="AQ46" i="12"/>
  <c r="AQ44" i="12"/>
  <c r="AP41" i="12"/>
  <c r="AQ41" i="12" s="1"/>
  <c r="AP40" i="12"/>
  <c r="AQ40" i="12" s="1"/>
  <c r="AP39" i="12"/>
  <c r="AP38" i="12"/>
  <c r="AQ38" i="12" s="1"/>
  <c r="AP37" i="12"/>
  <c r="AQ37" i="12" s="1"/>
  <c r="AP36" i="12"/>
  <c r="AQ36" i="12" s="1"/>
  <c r="AP35" i="12"/>
  <c r="AQ35" i="12" s="1"/>
  <c r="AP34" i="12"/>
  <c r="AQ34" i="12" s="1"/>
  <c r="AP33" i="12"/>
  <c r="AQ33" i="12" s="1"/>
  <c r="AP32" i="12"/>
  <c r="AQ32" i="12" s="1"/>
  <c r="AP31" i="12"/>
  <c r="AQ31" i="12" s="1"/>
  <c r="AP30" i="12"/>
  <c r="AQ30" i="12" s="1"/>
  <c r="AP29" i="12"/>
  <c r="AQ29" i="12" s="1"/>
  <c r="AP28" i="12"/>
  <c r="AQ28" i="12" s="1"/>
  <c r="AP27" i="12"/>
  <c r="AQ27" i="12" s="1"/>
  <c r="AP26" i="12"/>
  <c r="AQ26" i="12" s="1"/>
  <c r="AP25" i="12"/>
  <c r="AQ25" i="12" s="1"/>
  <c r="AP24" i="12"/>
  <c r="AQ24" i="12" s="1"/>
  <c r="AP23" i="12"/>
  <c r="AQ23" i="12" s="1"/>
  <c r="AP22" i="12"/>
  <c r="AQ22" i="12" s="1"/>
  <c r="AP21" i="12"/>
  <c r="AQ21" i="12" s="1"/>
  <c r="AP20" i="12"/>
  <c r="AQ20" i="12" s="1"/>
  <c r="AP19" i="12"/>
  <c r="AQ19" i="12" s="1"/>
  <c r="AP18" i="12"/>
  <c r="AQ18" i="12" s="1"/>
  <c r="AP17" i="12"/>
  <c r="AQ17" i="12" s="1"/>
  <c r="AP16" i="12"/>
  <c r="AQ16" i="12" s="1"/>
  <c r="AP15" i="12"/>
  <c r="AQ15" i="12" s="1"/>
  <c r="AP14" i="12"/>
  <c r="AQ14" i="12" s="1"/>
  <c r="AP13" i="12"/>
  <c r="AQ13" i="12" s="1"/>
  <c r="AP12" i="12"/>
  <c r="AQ12" i="12" s="1"/>
  <c r="AP11" i="12"/>
  <c r="AQ11" i="12" s="1"/>
  <c r="AP10" i="12"/>
  <c r="AQ10" i="12" s="1"/>
  <c r="AT10" i="12"/>
  <c r="H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8" i="12"/>
  <c r="J8" i="12"/>
  <c r="I8" i="12"/>
  <c r="O8" i="12"/>
  <c r="N8" i="12"/>
  <c r="M8" i="12"/>
  <c r="S8" i="12"/>
  <c r="R8" i="12"/>
  <c r="Q8" i="12"/>
  <c r="W8" i="12"/>
  <c r="V8" i="12"/>
  <c r="U8" i="12"/>
  <c r="AA8" i="12"/>
  <c r="Z8" i="12"/>
  <c r="Y8" i="12"/>
  <c r="AE8" i="12"/>
  <c r="AD8" i="12"/>
  <c r="AC8" i="12"/>
  <c r="L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P52" i="12"/>
  <c r="S51" i="12"/>
  <c r="S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T52" i="12"/>
  <c r="W51" i="12"/>
  <c r="W50" i="12"/>
  <c r="W49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X52" i="12"/>
  <c r="C13" i="55" s="1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B52" i="12"/>
  <c r="C12" i="55" s="1"/>
  <c r="AE51" i="12"/>
  <c r="AE50" i="12"/>
  <c r="AE49" i="12"/>
  <c r="AE48" i="12"/>
  <c r="AE47" i="12"/>
  <c r="AE46" i="12"/>
  <c r="AE45" i="12"/>
  <c r="AE44" i="12"/>
  <c r="AE43" i="12"/>
  <c r="AE42" i="12"/>
  <c r="AE41" i="12"/>
  <c r="AE40" i="12"/>
  <c r="AE39" i="12"/>
  <c r="AE38" i="12"/>
  <c r="AE37" i="12"/>
  <c r="AE36" i="12"/>
  <c r="AE35" i="12"/>
  <c r="AE34" i="12"/>
  <c r="AE33" i="12"/>
  <c r="AE32" i="12"/>
  <c r="AE31" i="12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F52" i="12"/>
  <c r="C11" i="55" s="1"/>
  <c r="AI51" i="12"/>
  <c r="AI50" i="12"/>
  <c r="AI49" i="12"/>
  <c r="AI48" i="12"/>
  <c r="AI47" i="12"/>
  <c r="AI46" i="12"/>
  <c r="AI45" i="12"/>
  <c r="AI44" i="12"/>
  <c r="AI43" i="12"/>
  <c r="AI42" i="12"/>
  <c r="AI41" i="12"/>
  <c r="AI40" i="12"/>
  <c r="AI39" i="12"/>
  <c r="AI38" i="12"/>
  <c r="AI37" i="12"/>
  <c r="AI36" i="12"/>
  <c r="AI35" i="12"/>
  <c r="AI34" i="12"/>
  <c r="AI33" i="12"/>
  <c r="AI32" i="12"/>
  <c r="AI31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8" i="12"/>
  <c r="AH8" i="12"/>
  <c r="AG8" i="12"/>
  <c r="AJ52" i="12"/>
  <c r="I40" i="6" s="1"/>
  <c r="O2" i="57" s="1"/>
  <c r="AM51" i="12"/>
  <c r="AM50" i="12"/>
  <c r="AM49" i="12"/>
  <c r="AM48" i="12"/>
  <c r="AM47" i="12"/>
  <c r="AM46" i="12"/>
  <c r="AM45" i="12"/>
  <c r="AM44" i="12"/>
  <c r="AM43" i="12"/>
  <c r="AM42" i="12"/>
  <c r="AM41" i="12"/>
  <c r="AM40" i="12"/>
  <c r="AM39" i="12"/>
  <c r="AM38" i="12"/>
  <c r="AM37" i="12"/>
  <c r="AM36" i="12"/>
  <c r="AM35" i="12"/>
  <c r="AM34" i="12"/>
  <c r="AM33" i="12"/>
  <c r="AM32" i="12"/>
  <c r="AM31" i="12"/>
  <c r="AM30" i="12"/>
  <c r="AM29" i="12"/>
  <c r="AM28" i="12"/>
  <c r="AM27" i="12"/>
  <c r="AM26" i="12"/>
  <c r="AM25" i="12"/>
  <c r="AM24" i="12"/>
  <c r="AM23" i="12"/>
  <c r="AM22" i="12"/>
  <c r="AM21" i="12"/>
  <c r="AM20" i="12"/>
  <c r="AM19" i="12"/>
  <c r="AM18" i="12"/>
  <c r="AM17" i="12"/>
  <c r="AM16" i="12"/>
  <c r="AM15" i="12"/>
  <c r="AM14" i="12"/>
  <c r="AM13" i="12"/>
  <c r="AM12" i="12"/>
  <c r="AM11" i="12"/>
  <c r="AM10" i="12"/>
  <c r="AM8" i="12"/>
  <c r="AL8" i="12"/>
  <c r="AK8" i="12"/>
  <c r="AN52" i="12"/>
  <c r="AQ51" i="12"/>
  <c r="AQ50" i="12"/>
  <c r="AQ49" i="12"/>
  <c r="AQ48" i="12"/>
  <c r="AQ47" i="12"/>
  <c r="AQ45" i="12"/>
  <c r="AQ43" i="12"/>
  <c r="AQ42" i="12"/>
  <c r="AQ39" i="12"/>
  <c r="AQ8" i="12"/>
  <c r="AP8" i="12"/>
  <c r="AO8" i="12"/>
  <c r="B9" i="55"/>
  <c r="B10" i="55" s="1"/>
  <c r="B11" i="55" s="1"/>
  <c r="B12" i="55" s="1"/>
  <c r="B13" i="55" s="1"/>
  <c r="B14" i="55" s="1"/>
  <c r="B15" i="55" s="1"/>
  <c r="B16" i="55" s="1"/>
  <c r="B17" i="55" s="1"/>
  <c r="C9" i="55" l="1"/>
  <c r="K40" i="6"/>
  <c r="AM2" i="57" s="1"/>
  <c r="S52" i="12"/>
  <c r="D15" i="55" s="1"/>
  <c r="B10" i="13" s="1"/>
  <c r="C10" i="13" s="1"/>
  <c r="D10" i="13" s="1"/>
  <c r="C10" i="55"/>
  <c r="C14" i="55"/>
  <c r="C15" i="55"/>
  <c r="C16" i="55"/>
  <c r="C17" i="55"/>
  <c r="K52" i="12"/>
  <c r="D17" i="55" s="1"/>
  <c r="O52" i="12"/>
  <c r="D16" i="55" s="1"/>
  <c r="W52" i="12"/>
  <c r="D14" i="55" s="1"/>
  <c r="B11" i="13" s="1"/>
  <c r="C11" i="13" s="1"/>
  <c r="D11" i="13" s="1"/>
  <c r="AA52" i="12"/>
  <c r="D13" i="55" s="1"/>
  <c r="B12" i="13" s="1"/>
  <c r="C12" i="13" s="1"/>
  <c r="D12" i="13" s="1"/>
  <c r="AE52" i="12"/>
  <c r="D12" i="55" s="1"/>
  <c r="B13" i="13" s="1"/>
  <c r="C13" i="13" s="1"/>
  <c r="D13" i="13" s="1"/>
  <c r="AI52" i="12"/>
  <c r="D11" i="55" s="1"/>
  <c r="B14" i="13" s="1"/>
  <c r="C14" i="13" s="1"/>
  <c r="D14" i="13" s="1"/>
  <c r="AM52" i="12"/>
  <c r="D10" i="55" s="1"/>
  <c r="B15" i="13" s="1"/>
  <c r="C15" i="13" s="1"/>
  <c r="D15" i="13" s="1"/>
  <c r="AQ52" i="12"/>
  <c r="D9" i="55" s="1"/>
  <c r="B16" i="13" s="1"/>
  <c r="C16" i="13" s="1"/>
  <c r="D16" i="13" s="1"/>
  <c r="B8" i="13" l="1"/>
  <c r="C8" i="13" s="1"/>
  <c r="B9" i="13"/>
  <c r="C9" i="13" s="1"/>
  <c r="D9" i="13" s="1"/>
  <c r="AR8" i="12"/>
  <c r="AN8" i="12" s="1"/>
  <c r="AJ8" i="12" s="1"/>
  <c r="AF8" i="12" s="1"/>
  <c r="AB8" i="12" s="1"/>
  <c r="X8" i="12" s="1"/>
  <c r="T8" i="12" s="1"/>
  <c r="P8" i="12" s="1"/>
  <c r="L8" i="12" s="1"/>
  <c r="H8" i="12" s="1"/>
  <c r="D8" i="12" s="1"/>
  <c r="AU8" i="12"/>
  <c r="AT8" i="12"/>
  <c r="AS8" i="12"/>
  <c r="D8" i="13" l="1"/>
  <c r="C28" i="13"/>
  <c r="K16" i="6" s="1"/>
  <c r="J16" i="6" l="1"/>
  <c r="X2" i="57" s="1"/>
  <c r="AF2" i="57"/>
  <c r="H6" i="16"/>
  <c r="M6" i="16"/>
  <c r="I63" i="16"/>
  <c r="K60" i="16"/>
  <c r="L60" i="16" s="1"/>
  <c r="K59" i="16"/>
  <c r="L59" i="16" s="1"/>
  <c r="K58" i="16"/>
  <c r="L58" i="16" s="1"/>
  <c r="K55" i="16"/>
  <c r="L55" i="16" s="1"/>
  <c r="K54" i="16"/>
  <c r="L54" i="16" s="1"/>
  <c r="K53" i="16"/>
  <c r="K52" i="16"/>
  <c r="L52" i="16" s="1"/>
  <c r="K51" i="16"/>
  <c r="L51" i="16" s="1"/>
  <c r="K50" i="16"/>
  <c r="L50" i="16" s="1"/>
  <c r="K49" i="16"/>
  <c r="L49" i="16" s="1"/>
  <c r="K48" i="16"/>
  <c r="L48" i="16" s="1"/>
  <c r="K47" i="16"/>
  <c r="L47" i="16" s="1"/>
  <c r="K46" i="16"/>
  <c r="L46" i="16" s="1"/>
  <c r="K45" i="16"/>
  <c r="L45" i="16" s="1"/>
  <c r="K44" i="16"/>
  <c r="L44" i="16" s="1"/>
  <c r="K43" i="16"/>
  <c r="L43" i="16" s="1"/>
  <c r="K42" i="16"/>
  <c r="L42" i="16" s="1"/>
  <c r="K41" i="16"/>
  <c r="L41" i="16" s="1"/>
  <c r="K40" i="16"/>
  <c r="L40" i="16" s="1"/>
  <c r="K39" i="16"/>
  <c r="L39" i="16" s="1"/>
  <c r="K38" i="16"/>
  <c r="L38" i="16" s="1"/>
  <c r="K37" i="16"/>
  <c r="L37" i="16" s="1"/>
  <c r="K36" i="16"/>
  <c r="L36" i="16" s="1"/>
  <c r="K35" i="16"/>
  <c r="L35" i="16" s="1"/>
  <c r="K34" i="16"/>
  <c r="L34" i="16" s="1"/>
  <c r="K33" i="16"/>
  <c r="L33" i="16" s="1"/>
  <c r="K32" i="16"/>
  <c r="L32" i="16" s="1"/>
  <c r="K31" i="16"/>
  <c r="L31" i="16" s="1"/>
  <c r="K30" i="16"/>
  <c r="L30" i="16" s="1"/>
  <c r="K29" i="16"/>
  <c r="L29" i="16" s="1"/>
  <c r="K28" i="16"/>
  <c r="L28" i="16" s="1"/>
  <c r="K27" i="16"/>
  <c r="L27" i="16" s="1"/>
  <c r="K26" i="16"/>
  <c r="L26" i="16" s="1"/>
  <c r="K25" i="16"/>
  <c r="L25" i="16" s="1"/>
  <c r="K24" i="16"/>
  <c r="L24" i="16" s="1"/>
  <c r="K23" i="16"/>
  <c r="L23" i="16" s="1"/>
  <c r="K22" i="16"/>
  <c r="L22" i="16" s="1"/>
  <c r="K21" i="16"/>
  <c r="L21" i="16" s="1"/>
  <c r="K20" i="16"/>
  <c r="L20" i="16" s="1"/>
  <c r="K19" i="16"/>
  <c r="L19" i="16" s="1"/>
  <c r="K18" i="16"/>
  <c r="L18" i="16" s="1"/>
  <c r="K17" i="16"/>
  <c r="L17" i="16" s="1"/>
  <c r="K16" i="16"/>
  <c r="L16" i="16" s="1"/>
  <c r="K15" i="16"/>
  <c r="L15" i="16" s="1"/>
  <c r="K14" i="16"/>
  <c r="L14" i="16" s="1"/>
  <c r="K13" i="16"/>
  <c r="L13" i="16" s="1"/>
  <c r="K12" i="16"/>
  <c r="L12" i="16" s="1"/>
  <c r="K11" i="16"/>
  <c r="L11" i="16" s="1"/>
  <c r="K10" i="16"/>
  <c r="L10" i="16" s="1"/>
  <c r="K9" i="16"/>
  <c r="L9" i="16" s="1"/>
  <c r="N63" i="16"/>
  <c r="P60" i="16"/>
  <c r="Q60" i="16" s="1"/>
  <c r="P59" i="16"/>
  <c r="Q59" i="16" s="1"/>
  <c r="P58" i="16"/>
  <c r="P55" i="16"/>
  <c r="Q55" i="16" s="1"/>
  <c r="P54" i="16"/>
  <c r="Q54" i="16" s="1"/>
  <c r="P53" i="16"/>
  <c r="Q53" i="16" s="1"/>
  <c r="P52" i="16"/>
  <c r="P51" i="16"/>
  <c r="Q51" i="16" s="1"/>
  <c r="P50" i="16"/>
  <c r="Q50" i="16" s="1"/>
  <c r="P49" i="16"/>
  <c r="Q49" i="16" s="1"/>
  <c r="P48" i="16"/>
  <c r="P47" i="16"/>
  <c r="Q47" i="16" s="1"/>
  <c r="P46" i="16"/>
  <c r="Q46" i="16" s="1"/>
  <c r="P45" i="16"/>
  <c r="Q45" i="16" s="1"/>
  <c r="P44" i="16"/>
  <c r="P43" i="16"/>
  <c r="Q43" i="16" s="1"/>
  <c r="P42" i="16"/>
  <c r="Q42" i="16" s="1"/>
  <c r="P41" i="16"/>
  <c r="Q41" i="16" s="1"/>
  <c r="P40" i="16"/>
  <c r="P39" i="16"/>
  <c r="Q39" i="16" s="1"/>
  <c r="P38" i="16"/>
  <c r="Q38" i="16" s="1"/>
  <c r="P37" i="16"/>
  <c r="Q37" i="16" s="1"/>
  <c r="P36" i="16"/>
  <c r="P35" i="16"/>
  <c r="Q35" i="16" s="1"/>
  <c r="P34" i="16"/>
  <c r="Q34" i="16" s="1"/>
  <c r="P33" i="16"/>
  <c r="Q33" i="16" s="1"/>
  <c r="P32" i="16"/>
  <c r="P31" i="16"/>
  <c r="Q31" i="16" s="1"/>
  <c r="P30" i="16"/>
  <c r="Q30" i="16" s="1"/>
  <c r="P29" i="16"/>
  <c r="Q29" i="16" s="1"/>
  <c r="P28" i="16"/>
  <c r="P27" i="16"/>
  <c r="Q27" i="16" s="1"/>
  <c r="P26" i="16"/>
  <c r="Q26" i="16" s="1"/>
  <c r="P25" i="16"/>
  <c r="Q25" i="16" s="1"/>
  <c r="P24" i="16"/>
  <c r="P23" i="16"/>
  <c r="Q23" i="16" s="1"/>
  <c r="P22" i="16"/>
  <c r="Q22" i="16" s="1"/>
  <c r="P21" i="16"/>
  <c r="Q21" i="16" s="1"/>
  <c r="P20" i="16"/>
  <c r="P19" i="16"/>
  <c r="Q19" i="16" s="1"/>
  <c r="P18" i="16"/>
  <c r="Q18" i="16" s="1"/>
  <c r="P17" i="16"/>
  <c r="Q17" i="16" s="1"/>
  <c r="P16" i="16"/>
  <c r="P15" i="16"/>
  <c r="Q15" i="16" s="1"/>
  <c r="P14" i="16"/>
  <c r="Q14" i="16" s="1"/>
  <c r="P13" i="16"/>
  <c r="Q13" i="16" s="1"/>
  <c r="P12" i="16"/>
  <c r="P11" i="16"/>
  <c r="Q11" i="16" s="1"/>
  <c r="P10" i="16"/>
  <c r="Q10" i="16" s="1"/>
  <c r="P9" i="16"/>
  <c r="Q9" i="16" s="1"/>
  <c r="P8" i="16"/>
  <c r="L53" i="16" l="1"/>
  <c r="K62" i="16"/>
  <c r="L8" i="16"/>
  <c r="Q24" i="16"/>
  <c r="Q32" i="16"/>
  <c r="Q52" i="16"/>
  <c r="Q58" i="16"/>
  <c r="Q20" i="16"/>
  <c r="J61" i="16"/>
  <c r="K61" i="16" s="1"/>
  <c r="L61" i="16" s="1"/>
  <c r="Q44" i="16"/>
  <c r="Q36" i="16"/>
  <c r="Q8" i="16"/>
  <c r="Q40" i="16"/>
  <c r="Q12" i="16"/>
  <c r="Q16" i="16"/>
  <c r="Q48" i="16"/>
  <c r="Q28" i="16"/>
  <c r="O61" i="16"/>
  <c r="P61" i="16" s="1"/>
  <c r="Q61" i="16" s="1"/>
  <c r="F34" i="8"/>
  <c r="L23" i="8"/>
  <c r="F23" i="8"/>
  <c r="L62" i="16" l="1"/>
  <c r="H15" i="6" s="1"/>
  <c r="A2" i="57" s="1"/>
  <c r="F2" i="57" s="1"/>
  <c r="P62" i="16"/>
  <c r="K15" i="6" s="1"/>
  <c r="AE2" i="57" s="1"/>
  <c r="I15" i="6"/>
  <c r="H2" i="57" s="1"/>
  <c r="M2" i="57" s="1"/>
  <c r="Q62" i="16"/>
  <c r="J15" i="6" s="1"/>
  <c r="W2" i="57" s="1"/>
  <c r="O28" i="53"/>
  <c r="N28" i="53"/>
  <c r="M28" i="53"/>
  <c r="O27" i="53"/>
  <c r="N27" i="53"/>
  <c r="M27" i="53"/>
  <c r="N24" i="53"/>
  <c r="M24" i="53"/>
  <c r="O23" i="53"/>
  <c r="N23" i="53"/>
  <c r="M23" i="53"/>
  <c r="O21" i="53"/>
  <c r="N21" i="53" s="1"/>
  <c r="M21" i="53" s="1"/>
  <c r="L21" i="53" s="1"/>
  <c r="K21" i="53" s="1"/>
  <c r="A1" i="53"/>
  <c r="D52" i="52"/>
  <c r="A52" i="52"/>
  <c r="D51" i="52"/>
  <c r="D50" i="52"/>
  <c r="D49" i="52"/>
  <c r="D48" i="52"/>
  <c r="D36" i="52"/>
  <c r="I30" i="52"/>
  <c r="H30" i="52"/>
  <c r="C30" i="52"/>
  <c r="I29" i="52"/>
  <c r="H29" i="52"/>
  <c r="C29" i="52"/>
  <c r="I28" i="52"/>
  <c r="H28" i="52"/>
  <c r="C28" i="52"/>
  <c r="I15" i="52"/>
  <c r="I37" i="52" s="1"/>
  <c r="K37" i="52" s="1"/>
  <c r="C15" i="52"/>
  <c r="C26" i="52" s="1"/>
  <c r="C37" i="52" s="1"/>
  <c r="E37" i="52" s="1"/>
  <c r="K7" i="52"/>
  <c r="J7" i="52"/>
  <c r="I7" i="52"/>
  <c r="H7" i="52"/>
  <c r="A7" i="52"/>
  <c r="K6" i="52"/>
  <c r="J6" i="52"/>
  <c r="I6" i="52"/>
  <c r="K5" i="52"/>
  <c r="I5" i="52"/>
  <c r="D12" i="48"/>
  <c r="E15" i="52" l="1"/>
  <c r="E26" i="52" s="1"/>
  <c r="K15" i="52"/>
  <c r="G3" i="8" s="1"/>
  <c r="I26" i="52"/>
  <c r="K26" i="52" s="1"/>
  <c r="H15" i="52"/>
  <c r="F3" i="8" l="1"/>
  <c r="M3" i="8"/>
  <c r="H26" i="52"/>
  <c r="J26" i="52" s="1"/>
  <c r="J15" i="52"/>
  <c r="H37" i="52"/>
  <c r="J37" i="52" s="1"/>
  <c r="E3" i="8" l="1"/>
  <c r="L3" i="8"/>
  <c r="R61" i="16"/>
  <c r="R60" i="16"/>
  <c r="R59" i="16"/>
  <c r="R58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U60" i="16"/>
  <c r="U59" i="16"/>
  <c r="U58" i="16"/>
  <c r="U55" i="16"/>
  <c r="U54" i="16"/>
  <c r="U53" i="16"/>
  <c r="U52" i="16"/>
  <c r="U51" i="16"/>
  <c r="U50" i="16"/>
  <c r="U49" i="16"/>
  <c r="U48" i="16"/>
  <c r="U47" i="16"/>
  <c r="U46" i="16"/>
  <c r="U45" i="16"/>
  <c r="U44" i="16"/>
  <c r="U43" i="16"/>
  <c r="U42" i="16"/>
  <c r="U41" i="16"/>
  <c r="U40" i="16"/>
  <c r="U39" i="16"/>
  <c r="U38" i="16"/>
  <c r="U37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V55" i="16"/>
  <c r="R6" i="16"/>
  <c r="S62" i="16"/>
  <c r="S63" i="16" s="1"/>
  <c r="V14" i="16" l="1"/>
  <c r="V22" i="16"/>
  <c r="V30" i="16"/>
  <c r="V38" i="16"/>
  <c r="V46" i="16"/>
  <c r="V54" i="16"/>
  <c r="V15" i="16"/>
  <c r="V23" i="16"/>
  <c r="V31" i="16"/>
  <c r="V39" i="16"/>
  <c r="V47" i="16"/>
  <c r="V58" i="16"/>
  <c r="V16" i="16"/>
  <c r="V24" i="16"/>
  <c r="V32" i="16"/>
  <c r="V40" i="16"/>
  <c r="V48" i="16"/>
  <c r="V25" i="16"/>
  <c r="V41" i="16"/>
  <c r="V60" i="16"/>
  <c r="V13" i="16"/>
  <c r="V21" i="16"/>
  <c r="V29" i="16"/>
  <c r="V37" i="16"/>
  <c r="V45" i="16"/>
  <c r="V53" i="16"/>
  <c r="V9" i="16"/>
  <c r="V26" i="16"/>
  <c r="V18" i="16"/>
  <c r="V42" i="16"/>
  <c r="V50" i="16"/>
  <c r="V11" i="16"/>
  <c r="V19" i="16"/>
  <c r="V27" i="16"/>
  <c r="V35" i="16"/>
  <c r="V43" i="16"/>
  <c r="V51" i="16"/>
  <c r="V59" i="16"/>
  <c r="V17" i="16"/>
  <c r="V33" i="16"/>
  <c r="V49" i="16"/>
  <c r="V10" i="16"/>
  <c r="V34" i="16"/>
  <c r="V12" i="16"/>
  <c r="V20" i="16"/>
  <c r="V28" i="16"/>
  <c r="V36" i="16"/>
  <c r="V44" i="16"/>
  <c r="V52" i="16"/>
  <c r="K3" i="8"/>
  <c r="D3" i="8"/>
  <c r="V8" i="16"/>
  <c r="M55" i="8"/>
  <c r="M50" i="8"/>
  <c r="M49" i="8"/>
  <c r="M48" i="8"/>
  <c r="M46" i="8"/>
  <c r="M44" i="8"/>
  <c r="M26" i="8"/>
  <c r="M25" i="8"/>
  <c r="M24" i="8"/>
  <c r="A17" i="13"/>
  <c r="A16" i="13" s="1"/>
  <c r="A15" i="13" s="1"/>
  <c r="A14" i="13" s="1"/>
  <c r="A13" i="13" s="1"/>
  <c r="A12" i="13" s="1"/>
  <c r="A11" i="13" s="1"/>
  <c r="A10" i="13" s="1"/>
  <c r="A9" i="13" s="1"/>
  <c r="A8" i="13" s="1"/>
  <c r="A7" i="13" s="1"/>
  <c r="AT41" i="12"/>
  <c r="AT40" i="12"/>
  <c r="AT39" i="12"/>
  <c r="AT38" i="12"/>
  <c r="AT37" i="12"/>
  <c r="AT36" i="12"/>
  <c r="AT35" i="12"/>
  <c r="AT34" i="12"/>
  <c r="AT33" i="12"/>
  <c r="AT32" i="12"/>
  <c r="AT31" i="12"/>
  <c r="AT30" i="12"/>
  <c r="AT29" i="12"/>
  <c r="AT28" i="12"/>
  <c r="AT27" i="12"/>
  <c r="AT26" i="12"/>
  <c r="AT25" i="12"/>
  <c r="AT24" i="12"/>
  <c r="AT23" i="12"/>
  <c r="AT22" i="12"/>
  <c r="AT21" i="12"/>
  <c r="AT20" i="12"/>
  <c r="AT19" i="12"/>
  <c r="AT18" i="12"/>
  <c r="AT17" i="12"/>
  <c r="AT16" i="12"/>
  <c r="AT15" i="12"/>
  <c r="AT14" i="12"/>
  <c r="AT13" i="12"/>
  <c r="AT12" i="12"/>
  <c r="AT11" i="12"/>
  <c r="AR52" i="12"/>
  <c r="D6" i="17"/>
  <c r="L7" i="6"/>
  <c r="J7" i="6" s="1"/>
  <c r="H7" i="6" s="1"/>
  <c r="F7" i="6" s="1"/>
  <c r="D7" i="6" s="1"/>
  <c r="M44" i="6"/>
  <c r="O25" i="53" s="1"/>
  <c r="M36" i="6"/>
  <c r="D7" i="52" s="1"/>
  <c r="E21" i="53" s="1"/>
  <c r="M29" i="6"/>
  <c r="L29" i="6" s="1"/>
  <c r="BB2" i="57" s="1"/>
  <c r="BA2" i="57"/>
  <c r="L25" i="6"/>
  <c r="AZ2" i="57" s="1"/>
  <c r="M22" i="6"/>
  <c r="M53" i="8" s="1"/>
  <c r="L21" i="6"/>
  <c r="AY2" i="57" s="1"/>
  <c r="M13" i="6"/>
  <c r="L13" i="6"/>
  <c r="V62" i="16" l="1"/>
  <c r="BL2" i="57"/>
  <c r="M27" i="8"/>
  <c r="BJ2" i="57"/>
  <c r="B52" i="52"/>
  <c r="BD2" i="57"/>
  <c r="G35" i="8"/>
  <c r="BO2" i="57"/>
  <c r="C3" i="8"/>
  <c r="I3" i="8" s="1"/>
  <c r="J3" i="8"/>
  <c r="G39" i="8"/>
  <c r="C20" i="52"/>
  <c r="I20" i="52"/>
  <c r="I19" i="52"/>
  <c r="C19" i="52"/>
  <c r="C31" i="52"/>
  <c r="I31" i="52"/>
  <c r="M58" i="8"/>
  <c r="C52" i="52"/>
  <c r="M30" i="8"/>
  <c r="M62" i="8"/>
  <c r="I18" i="52"/>
  <c r="C18" i="52"/>
  <c r="G24" i="8"/>
  <c r="C17" i="52"/>
  <c r="I17" i="52"/>
  <c r="C8" i="55"/>
  <c r="C19" i="55" s="1"/>
  <c r="D6" i="13"/>
  <c r="C6" i="13" s="1"/>
  <c r="G25" i="8"/>
  <c r="G36" i="8"/>
  <c r="G26" i="8"/>
  <c r="G37" i="8"/>
  <c r="L22" i="6"/>
  <c r="G27" i="8"/>
  <c r="G38" i="8"/>
  <c r="G15" i="8"/>
  <c r="M59" i="8"/>
  <c r="M5" i="8"/>
  <c r="M13" i="8"/>
  <c r="M16" i="8"/>
  <c r="M6" i="8"/>
  <c r="M14" i="8"/>
  <c r="M19" i="8"/>
  <c r="M7" i="8"/>
  <c r="M15" i="8"/>
  <c r="G9" i="8"/>
  <c r="G16" i="8"/>
  <c r="G13" i="8"/>
  <c r="G14" i="8"/>
  <c r="M40" i="6"/>
  <c r="BM2" i="57" s="1"/>
  <c r="J27" i="6"/>
  <c r="AA2" i="57" s="1"/>
  <c r="J25" i="6"/>
  <c r="J21" i="6"/>
  <c r="G46" i="8" l="1"/>
  <c r="Y2" i="57"/>
  <c r="E31" i="52"/>
  <c r="K29" i="52"/>
  <c r="E28" i="52"/>
  <c r="E30" i="52"/>
  <c r="K28" i="52"/>
  <c r="E29" i="52"/>
  <c r="K30" i="52"/>
  <c r="G49" i="8"/>
  <c r="Z2" i="57"/>
  <c r="K32" i="52"/>
  <c r="E32" i="52"/>
  <c r="C32" i="52" s="1"/>
  <c r="K31" i="52"/>
  <c r="G44" i="8"/>
  <c r="AO2" i="57"/>
  <c r="E17" i="52"/>
  <c r="C39" i="52"/>
  <c r="E39" i="52" s="1"/>
  <c r="E19" i="52"/>
  <c r="C41" i="52"/>
  <c r="E41" i="52" s="1"/>
  <c r="I41" i="52"/>
  <c r="K41" i="52" s="1"/>
  <c r="K19" i="52"/>
  <c r="C40" i="52"/>
  <c r="E40" i="52" s="1"/>
  <c r="E18" i="52"/>
  <c r="K20" i="52"/>
  <c r="I42" i="52"/>
  <c r="K42" i="52" s="1"/>
  <c r="K18" i="52"/>
  <c r="I40" i="52"/>
  <c r="K40" i="52" s="1"/>
  <c r="C42" i="52"/>
  <c r="E42" i="52" s="1"/>
  <c r="E20" i="52"/>
  <c r="I39" i="52"/>
  <c r="K39" i="52" s="1"/>
  <c r="K17" i="52"/>
  <c r="H19" i="52"/>
  <c r="H17" i="52"/>
  <c r="G50" i="8"/>
  <c r="H18" i="52"/>
  <c r="O24" i="53"/>
  <c r="M29" i="8"/>
  <c r="M18" i="8"/>
  <c r="G53" i="8"/>
  <c r="L32" i="52" l="1"/>
  <c r="I32" i="52"/>
  <c r="H39" i="52"/>
  <c r="H40" i="52"/>
  <c r="H41" i="52"/>
  <c r="L55" i="8" l="1"/>
  <c r="L50" i="8"/>
  <c r="L49" i="8"/>
  <c r="L48" i="8"/>
  <c r="L46" i="8"/>
  <c r="L45" i="8"/>
  <c r="L44" i="8"/>
  <c r="L26" i="8"/>
  <c r="L25" i="8"/>
  <c r="L24" i="8"/>
  <c r="K55" i="8"/>
  <c r="J55" i="8"/>
  <c r="I55" i="8"/>
  <c r="K51" i="8"/>
  <c r="J51" i="8"/>
  <c r="E51" i="8"/>
  <c r="D51" i="8"/>
  <c r="K50" i="8"/>
  <c r="J50" i="8"/>
  <c r="K49" i="8"/>
  <c r="J49" i="8"/>
  <c r="K48" i="8"/>
  <c r="J48" i="8"/>
  <c r="K46" i="8"/>
  <c r="J46" i="8"/>
  <c r="K45" i="8"/>
  <c r="J45" i="8"/>
  <c r="K44" i="8"/>
  <c r="J44" i="8"/>
  <c r="E39" i="8"/>
  <c r="D39" i="8"/>
  <c r="C39" i="8"/>
  <c r="K29" i="8"/>
  <c r="J29" i="8"/>
  <c r="I29" i="8"/>
  <c r="K27" i="8"/>
  <c r="J27" i="8"/>
  <c r="I27" i="8"/>
  <c r="E27" i="8"/>
  <c r="D27" i="8"/>
  <c r="C27" i="8"/>
  <c r="K26" i="8"/>
  <c r="J26" i="8"/>
  <c r="I26" i="8"/>
  <c r="K25" i="8"/>
  <c r="J25" i="8"/>
  <c r="I25" i="8"/>
  <c r="K24" i="8"/>
  <c r="J24" i="8"/>
  <c r="I24" i="8"/>
  <c r="A1" i="48" l="1"/>
  <c r="B31" i="52" l="1"/>
  <c r="AJ2" i="57"/>
  <c r="AK2" i="57" s="1"/>
  <c r="J29" i="6"/>
  <c r="H31" i="52"/>
  <c r="M51" i="8"/>
  <c r="L51" i="8"/>
  <c r="L27" i="8"/>
  <c r="K44" i="6"/>
  <c r="M25" i="53"/>
  <c r="G44" i="6"/>
  <c r="E44" i="6"/>
  <c r="B20" i="52" l="1"/>
  <c r="B42" i="52" s="1"/>
  <c r="AB2" i="57"/>
  <c r="AC2" i="57" s="1"/>
  <c r="G51" i="8"/>
  <c r="H20" i="52"/>
  <c r="H42" i="52" s="1"/>
  <c r="N25" i="53"/>
  <c r="J30" i="8"/>
  <c r="L30" i="8"/>
  <c r="K30" i="8"/>
  <c r="I30" i="8"/>
  <c r="F51" i="8"/>
  <c r="F27" i="8"/>
  <c r="F39" i="8"/>
  <c r="AU50" i="12"/>
  <c r="AU49" i="12"/>
  <c r="AU48" i="12"/>
  <c r="AU47" i="12"/>
  <c r="AU46" i="12"/>
  <c r="AU45" i="12"/>
  <c r="AU44" i="12"/>
  <c r="AU43" i="12"/>
  <c r="AU42" i="12"/>
  <c r="AU41" i="12"/>
  <c r="AU40" i="12"/>
  <c r="AU39" i="12"/>
  <c r="AU38" i="12"/>
  <c r="AU37" i="12"/>
  <c r="AU36" i="12"/>
  <c r="AU35" i="12"/>
  <c r="AU34" i="12"/>
  <c r="AU33" i="12"/>
  <c r="AU32" i="12"/>
  <c r="AU31" i="12"/>
  <c r="AU29" i="12"/>
  <c r="AU28" i="12"/>
  <c r="AU27" i="12"/>
  <c r="AU26" i="12"/>
  <c r="AU25" i="12"/>
  <c r="AU24" i="12"/>
  <c r="AU23" i="12"/>
  <c r="AU22" i="12"/>
  <c r="AU21" i="12"/>
  <c r="AU20" i="12"/>
  <c r="AU19" i="12"/>
  <c r="AU17" i="12"/>
  <c r="AU16" i="12"/>
  <c r="AU15" i="12"/>
  <c r="AU14" i="12"/>
  <c r="AU13" i="12"/>
  <c r="AU12" i="12"/>
  <c r="AU11" i="12"/>
  <c r="AU10" i="12"/>
  <c r="AU18" i="12"/>
  <c r="M26" i="13"/>
  <c r="L25" i="13"/>
  <c r="M25" i="13" s="1"/>
  <c r="K24" i="13"/>
  <c r="L24" i="13" s="1"/>
  <c r="J23" i="13"/>
  <c r="K23" i="13" s="1"/>
  <c r="I22" i="13"/>
  <c r="J22" i="13" s="1"/>
  <c r="H21" i="13"/>
  <c r="I21" i="13" s="1"/>
  <c r="J21" i="13" s="1"/>
  <c r="G20" i="13"/>
  <c r="H20" i="13" s="1"/>
  <c r="I20" i="13" s="1"/>
  <c r="F19" i="13"/>
  <c r="G19" i="13" s="1"/>
  <c r="E18" i="13"/>
  <c r="F18" i="13" s="1"/>
  <c r="AU30" i="12"/>
  <c r="E6" i="13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D23" i="17"/>
  <c r="A1" i="17"/>
  <c r="A1" i="16"/>
  <c r="I17" i="6"/>
  <c r="G17" i="6"/>
  <c r="A1" i="13"/>
  <c r="A1" i="12"/>
  <c r="A1" i="6"/>
  <c r="J13" i="6"/>
  <c r="AD2" i="57" s="1"/>
  <c r="K36" i="6"/>
  <c r="K22" i="6"/>
  <c r="K13" i="6"/>
  <c r="AL2" i="57" s="1"/>
  <c r="I36" i="6"/>
  <c r="G36" i="6"/>
  <c r="E36" i="6"/>
  <c r="I22" i="6"/>
  <c r="G22" i="6"/>
  <c r="E22" i="6"/>
  <c r="I53" i="8" s="1"/>
  <c r="I13" i="6"/>
  <c r="N2" i="57" s="1"/>
  <c r="B50" i="52"/>
  <c r="G13" i="6"/>
  <c r="C49" i="52" s="1"/>
  <c r="F13" i="6"/>
  <c r="B49" i="52" s="1"/>
  <c r="E13" i="6"/>
  <c r="C48" i="52" s="1"/>
  <c r="D13" i="6"/>
  <c r="B48" i="52" s="1"/>
  <c r="D5" i="52" l="1"/>
  <c r="L53" i="8"/>
  <c r="M54" i="8" s="1"/>
  <c r="M47" i="8"/>
  <c r="D6" i="52"/>
  <c r="I30" i="6"/>
  <c r="C50" i="52"/>
  <c r="B51" i="52"/>
  <c r="G42" i="8"/>
  <c r="M9" i="8"/>
  <c r="G7" i="8"/>
  <c r="C51" i="52"/>
  <c r="M42" i="8"/>
  <c r="L23" i="13"/>
  <c r="M23" i="13" s="1"/>
  <c r="K19" i="8"/>
  <c r="F27" i="6"/>
  <c r="F25" i="6"/>
  <c r="F15" i="6"/>
  <c r="D33" i="8" s="1"/>
  <c r="F21" i="6"/>
  <c r="G30" i="6"/>
  <c r="D27" i="6"/>
  <c r="D25" i="6"/>
  <c r="D15" i="6"/>
  <c r="C33" i="8" s="1"/>
  <c r="D21" i="6"/>
  <c r="B19" i="52"/>
  <c r="B18" i="52"/>
  <c r="H17" i="6"/>
  <c r="B17" i="52"/>
  <c r="D19" i="6"/>
  <c r="C35" i="8" s="1"/>
  <c r="J22" i="6"/>
  <c r="F19" i="6"/>
  <c r="K21" i="13"/>
  <c r="H19" i="13"/>
  <c r="G18" i="13"/>
  <c r="H18" i="13" s="1"/>
  <c r="J15" i="8"/>
  <c r="J13" i="8"/>
  <c r="J7" i="8"/>
  <c r="J42" i="8"/>
  <c r="J58" i="8"/>
  <c r="J16" i="8"/>
  <c r="J14" i="8"/>
  <c r="J5" i="8"/>
  <c r="J59" i="8"/>
  <c r="J18" i="8"/>
  <c r="J6" i="8"/>
  <c r="L47" i="8"/>
  <c r="J19" i="8"/>
  <c r="E16" i="8"/>
  <c r="E9" i="8"/>
  <c r="E42" i="8"/>
  <c r="K53" i="8"/>
  <c r="K47" i="8"/>
  <c r="I59" i="8"/>
  <c r="I18" i="8"/>
  <c r="I6" i="8"/>
  <c r="I58" i="8"/>
  <c r="I16" i="8"/>
  <c r="I14" i="8"/>
  <c r="I5" i="8"/>
  <c r="I7" i="8"/>
  <c r="I13" i="8"/>
  <c r="I15" i="8"/>
  <c r="K42" i="8"/>
  <c r="K58" i="8"/>
  <c r="K16" i="8"/>
  <c r="K59" i="8"/>
  <c r="K18" i="8"/>
  <c r="K6" i="8"/>
  <c r="K15" i="8"/>
  <c r="K13" i="8"/>
  <c r="K7" i="8"/>
  <c r="K14" i="8"/>
  <c r="K5" i="8"/>
  <c r="I62" i="8"/>
  <c r="J22" i="8"/>
  <c r="J11" i="8"/>
  <c r="J20" i="13"/>
  <c r="K22" i="13"/>
  <c r="L22" i="13" s="1"/>
  <c r="N26" i="13"/>
  <c r="O26" i="13" s="1"/>
  <c r="J53" i="8"/>
  <c r="J54" i="8" s="1"/>
  <c r="J47" i="8"/>
  <c r="D42" i="8"/>
  <c r="D9" i="8"/>
  <c r="D16" i="8"/>
  <c r="J62" i="8"/>
  <c r="L13" i="8"/>
  <c r="L5" i="8"/>
  <c r="L59" i="8"/>
  <c r="L15" i="8"/>
  <c r="L7" i="8"/>
  <c r="L58" i="8"/>
  <c r="L42" i="8"/>
  <c r="L14" i="8"/>
  <c r="L6" i="8"/>
  <c r="L16" i="8"/>
  <c r="AU51" i="12"/>
  <c r="AU52" i="12" s="1"/>
  <c r="F9" i="8"/>
  <c r="F42" i="8"/>
  <c r="K22" i="8"/>
  <c r="K43" i="8"/>
  <c r="K11" i="8"/>
  <c r="M24" i="13"/>
  <c r="K62" i="8"/>
  <c r="L19" i="8"/>
  <c r="C16" i="8"/>
  <c r="C9" i="8"/>
  <c r="L62" i="8"/>
  <c r="N25" i="13"/>
  <c r="O25" i="13" s="1"/>
  <c r="F16" i="8"/>
  <c r="I19" i="8"/>
  <c r="T61" i="16"/>
  <c r="E17" i="6"/>
  <c r="J43" i="8" s="1"/>
  <c r="J28" i="52" l="1"/>
  <c r="L28" i="52" s="1"/>
  <c r="J30" i="52"/>
  <c r="L30" i="52" s="1"/>
  <c r="J29" i="52"/>
  <c r="L29" i="52" s="1"/>
  <c r="J31" i="52"/>
  <c r="L31" i="52" s="1"/>
  <c r="J40" i="52"/>
  <c r="L40" i="52" s="1"/>
  <c r="J39" i="52"/>
  <c r="L39" i="52" s="1"/>
  <c r="J41" i="52"/>
  <c r="L41" i="52" s="1"/>
  <c r="J42" i="52"/>
  <c r="L42" i="52" s="1"/>
  <c r="C5" i="52"/>
  <c r="I34" i="6"/>
  <c r="C54" i="52"/>
  <c r="B54" i="52"/>
  <c r="B39" i="52"/>
  <c r="E36" i="8"/>
  <c r="B40" i="52"/>
  <c r="B41" i="52"/>
  <c r="F53" i="8"/>
  <c r="G47" i="8"/>
  <c r="B55" i="52"/>
  <c r="M1" i="53" s="1"/>
  <c r="D58" i="52"/>
  <c r="J19" i="52"/>
  <c r="J17" i="52"/>
  <c r="J18" i="52"/>
  <c r="J20" i="52"/>
  <c r="C55" i="52"/>
  <c r="D59" i="52"/>
  <c r="D8" i="55"/>
  <c r="D19" i="55" s="1"/>
  <c r="U61" i="16"/>
  <c r="N23" i="13"/>
  <c r="O23" i="13" s="1"/>
  <c r="P23" i="13" s="1"/>
  <c r="E33" i="8"/>
  <c r="E30" i="6"/>
  <c r="E15" i="13"/>
  <c r="F15" i="13" s="1"/>
  <c r="G15" i="13" s="1"/>
  <c r="H15" i="13" s="1"/>
  <c r="I15" i="13" s="1"/>
  <c r="J15" i="13" s="1"/>
  <c r="K15" i="13" s="1"/>
  <c r="E9" i="13"/>
  <c r="E16" i="13"/>
  <c r="F16" i="13" s="1"/>
  <c r="G16" i="13" s="1"/>
  <c r="H16" i="13" s="1"/>
  <c r="I16" i="13" s="1"/>
  <c r="J16" i="13" s="1"/>
  <c r="K16" i="13" s="1"/>
  <c r="L16" i="13" s="1"/>
  <c r="E14" i="13"/>
  <c r="F14" i="13" s="1"/>
  <c r="G14" i="13" s="1"/>
  <c r="H14" i="13" s="1"/>
  <c r="I14" i="13" s="1"/>
  <c r="J14" i="13" s="1"/>
  <c r="L54" i="8"/>
  <c r="H30" i="6"/>
  <c r="F17" i="6"/>
  <c r="F30" i="6" s="1"/>
  <c r="E12" i="13"/>
  <c r="F12" i="13" s="1"/>
  <c r="G12" i="13" s="1"/>
  <c r="H12" i="13" s="1"/>
  <c r="C37" i="8"/>
  <c r="C14" i="8"/>
  <c r="C25" i="8"/>
  <c r="F37" i="8"/>
  <c r="F49" i="8"/>
  <c r="F25" i="8"/>
  <c r="F14" i="8"/>
  <c r="E14" i="8"/>
  <c r="E49" i="8"/>
  <c r="E37" i="8"/>
  <c r="E25" i="8"/>
  <c r="L18" i="8"/>
  <c r="L29" i="8"/>
  <c r="E13" i="13"/>
  <c r="F13" i="13" s="1"/>
  <c r="G13" i="13" s="1"/>
  <c r="H13" i="13" s="1"/>
  <c r="I13" i="13" s="1"/>
  <c r="E11" i="13"/>
  <c r="F11" i="13" s="1"/>
  <c r="G11" i="13" s="1"/>
  <c r="C15" i="8"/>
  <c r="C38" i="8"/>
  <c r="C26" i="8"/>
  <c r="F46" i="8"/>
  <c r="F24" i="8"/>
  <c r="F13" i="8"/>
  <c r="F36" i="8"/>
  <c r="D44" i="8"/>
  <c r="D35" i="8"/>
  <c r="K20" i="13"/>
  <c r="K54" i="8"/>
  <c r="E46" i="8"/>
  <c r="E13" i="8"/>
  <c r="E24" i="8"/>
  <c r="J61" i="8"/>
  <c r="E10" i="13"/>
  <c r="F10" i="13" s="1"/>
  <c r="M22" i="13"/>
  <c r="N22" i="13" s="1"/>
  <c r="I18" i="13"/>
  <c r="F44" i="8"/>
  <c r="F35" i="8"/>
  <c r="D25" i="8"/>
  <c r="D49" i="8"/>
  <c r="D37" i="8"/>
  <c r="D14" i="8"/>
  <c r="E44" i="8"/>
  <c r="E35" i="8"/>
  <c r="I19" i="13"/>
  <c r="J19" i="13" s="1"/>
  <c r="L21" i="13"/>
  <c r="K61" i="8"/>
  <c r="D38" i="8"/>
  <c r="D26" i="8"/>
  <c r="D50" i="8"/>
  <c r="D15" i="8"/>
  <c r="P25" i="13"/>
  <c r="I22" i="8"/>
  <c r="I11" i="8"/>
  <c r="C13" i="8"/>
  <c r="C36" i="8"/>
  <c r="C24" i="8"/>
  <c r="P26" i="13"/>
  <c r="F38" i="8"/>
  <c r="F50" i="8"/>
  <c r="F26" i="8"/>
  <c r="F15" i="8"/>
  <c r="D36" i="8"/>
  <c r="D24" i="8"/>
  <c r="D46" i="8"/>
  <c r="D13" i="8"/>
  <c r="N24" i="13"/>
  <c r="E26" i="8"/>
  <c r="E50" i="8"/>
  <c r="E15" i="8"/>
  <c r="E38" i="8"/>
  <c r="E22" i="8"/>
  <c r="E11" i="8"/>
  <c r="F22" i="6"/>
  <c r="D17" i="6"/>
  <c r="H22" i="6"/>
  <c r="D22" i="6"/>
  <c r="D40" i="52" l="1"/>
  <c r="F40" i="52" s="1"/>
  <c r="D39" i="52"/>
  <c r="F39" i="52" s="1"/>
  <c r="L20" i="13"/>
  <c r="M20" i="13" s="1"/>
  <c r="N20" i="13" s="1"/>
  <c r="O20" i="13" s="1"/>
  <c r="P20" i="13" s="1"/>
  <c r="D41" i="52"/>
  <c r="F41" i="52" s="1"/>
  <c r="H34" i="6"/>
  <c r="D42" i="52"/>
  <c r="F42" i="52" s="1"/>
  <c r="D20" i="52"/>
  <c r="D18" i="53" s="1"/>
  <c r="L20" i="52"/>
  <c r="D18" i="52"/>
  <c r="D16" i="53" s="1"/>
  <c r="D17" i="52"/>
  <c r="D15" i="53" s="1"/>
  <c r="D19" i="52"/>
  <c r="D17" i="53" s="1"/>
  <c r="L18" i="52"/>
  <c r="L17" i="52"/>
  <c r="L19" i="52"/>
  <c r="D31" i="52"/>
  <c r="E18" i="53" s="1"/>
  <c r="D29" i="52"/>
  <c r="D30" i="52"/>
  <c r="D28" i="52"/>
  <c r="B17" i="13"/>
  <c r="D17" i="13" s="1"/>
  <c r="B5" i="52"/>
  <c r="U62" i="16"/>
  <c r="M15" i="6" s="1"/>
  <c r="BE2" i="57" s="1"/>
  <c r="V61" i="16"/>
  <c r="D30" i="6"/>
  <c r="E43" i="8"/>
  <c r="D11" i="8"/>
  <c r="D22" i="8"/>
  <c r="F33" i="8"/>
  <c r="I61" i="8"/>
  <c r="Q23" i="13"/>
  <c r="R23" i="13" s="1"/>
  <c r="S23" i="13" s="1"/>
  <c r="J18" i="13"/>
  <c r="M21" i="13"/>
  <c r="N21" i="13" s="1"/>
  <c r="Q25" i="13"/>
  <c r="R25" i="13" s="1"/>
  <c r="Q26" i="13"/>
  <c r="K19" i="13"/>
  <c r="L19" i="13" s="1"/>
  <c r="O24" i="13"/>
  <c r="O22" i="13"/>
  <c r="D43" i="8"/>
  <c r="C22" i="8"/>
  <c r="C11" i="8"/>
  <c r="F47" i="8"/>
  <c r="E53" i="8"/>
  <c r="E61" i="8"/>
  <c r="E47" i="8"/>
  <c r="D53" i="8"/>
  <c r="D61" i="8"/>
  <c r="C53" i="8"/>
  <c r="D47" i="8"/>
  <c r="F28" i="52" l="1"/>
  <c r="E15" i="53"/>
  <c r="F30" i="52"/>
  <c r="E17" i="53"/>
  <c r="F31" i="52"/>
  <c r="F29" i="52"/>
  <c r="E16" i="53"/>
  <c r="F19" i="52"/>
  <c r="F17" i="52"/>
  <c r="F18" i="52"/>
  <c r="F20" i="52"/>
  <c r="E17" i="13"/>
  <c r="D28" i="13"/>
  <c r="M16" i="6" s="1"/>
  <c r="L15" i="6"/>
  <c r="K17" i="6"/>
  <c r="O21" i="13"/>
  <c r="P21" i="13" s="1"/>
  <c r="M19" i="13"/>
  <c r="N19" i="13" s="1"/>
  <c r="O19" i="13" s="1"/>
  <c r="P22" i="13"/>
  <c r="Q22" i="13" s="1"/>
  <c r="R22" i="13" s="1"/>
  <c r="R26" i="13"/>
  <c r="S26" i="13" s="1"/>
  <c r="K18" i="13"/>
  <c r="S25" i="13"/>
  <c r="T25" i="13" s="1"/>
  <c r="U25" i="13" s="1"/>
  <c r="P24" i="13"/>
  <c r="Q24" i="13" s="1"/>
  <c r="C61" i="8"/>
  <c r="J17" i="6"/>
  <c r="O28" i="13" l="1"/>
  <c r="G33" i="8"/>
  <c r="AW2" i="57"/>
  <c r="L16" i="6"/>
  <c r="AX2" i="57" s="1"/>
  <c r="BF2" i="57"/>
  <c r="BK2" i="57" s="1"/>
  <c r="M23" i="8"/>
  <c r="M17" i="6"/>
  <c r="C27" i="52" s="1"/>
  <c r="F17" i="13"/>
  <c r="E28" i="13"/>
  <c r="F11" i="8"/>
  <c r="H16" i="52"/>
  <c r="H22" i="52" s="1"/>
  <c r="H27" i="52"/>
  <c r="J30" i="6"/>
  <c r="K30" i="6"/>
  <c r="L22" i="8"/>
  <c r="L43" i="8"/>
  <c r="L11" i="8"/>
  <c r="P28" i="13"/>
  <c r="Q21" i="13"/>
  <c r="Q28" i="13" s="1"/>
  <c r="T26" i="13"/>
  <c r="U26" i="13" s="1"/>
  <c r="V26" i="13" s="1"/>
  <c r="V28" i="13" s="1"/>
  <c r="R24" i="13"/>
  <c r="S24" i="13" s="1"/>
  <c r="L18" i="13"/>
  <c r="M18" i="13" s="1"/>
  <c r="N18" i="13" s="1"/>
  <c r="N28" i="13" s="1"/>
  <c r="F22" i="8"/>
  <c r="F43" i="8"/>
  <c r="L17" i="6" l="1"/>
  <c r="G11" i="8" s="1"/>
  <c r="G34" i="8"/>
  <c r="H33" i="52"/>
  <c r="J27" i="52"/>
  <c r="J33" i="52" s="1"/>
  <c r="C33" i="52"/>
  <c r="E27" i="52"/>
  <c r="E33" i="52" s="1"/>
  <c r="K34" i="6"/>
  <c r="G23" i="8"/>
  <c r="BC2" i="57"/>
  <c r="J34" i="6"/>
  <c r="B27" i="52"/>
  <c r="I27" i="52"/>
  <c r="M22" i="8"/>
  <c r="M43" i="8"/>
  <c r="M11" i="8"/>
  <c r="M30" i="6"/>
  <c r="M34" i="6" s="1"/>
  <c r="D32" i="52" s="1"/>
  <c r="G17" i="13"/>
  <c r="F28" i="13"/>
  <c r="B6" i="52"/>
  <c r="H38" i="52"/>
  <c r="J16" i="52"/>
  <c r="J22" i="52" s="1"/>
  <c r="C6" i="52"/>
  <c r="L61" i="8"/>
  <c r="S28" i="13"/>
  <c r="T24" i="13"/>
  <c r="T28" i="13" s="1"/>
  <c r="U28" i="13"/>
  <c r="R28" i="13"/>
  <c r="F61" i="8"/>
  <c r="G43" i="8" l="1"/>
  <c r="G22" i="8"/>
  <c r="C16" i="52"/>
  <c r="C38" i="52" s="1"/>
  <c r="E38" i="52" s="1"/>
  <c r="B16" i="52"/>
  <c r="B38" i="52" s="1"/>
  <c r="I16" i="52"/>
  <c r="I38" i="52" s="1"/>
  <c r="K38" i="52" s="1"/>
  <c r="M2" i="53"/>
  <c r="L30" i="6"/>
  <c r="L32" i="6" s="1"/>
  <c r="E19" i="53"/>
  <c r="B32" i="52"/>
  <c r="B33" i="52" s="1"/>
  <c r="F32" i="52"/>
  <c r="J38" i="52"/>
  <c r="J44" i="52" s="1"/>
  <c r="H44" i="52"/>
  <c r="I33" i="52"/>
  <c r="K27" i="52"/>
  <c r="K33" i="52" s="1"/>
  <c r="C7" i="52"/>
  <c r="M61" i="8"/>
  <c r="D27" i="52"/>
  <c r="H17" i="13"/>
  <c r="G28" i="13"/>
  <c r="K16" i="52" l="1"/>
  <c r="L16" i="52" s="1"/>
  <c r="D16" i="52"/>
  <c r="D14" i="53" s="1"/>
  <c r="E16" i="52"/>
  <c r="L27" i="52"/>
  <c r="L33" i="52" s="1"/>
  <c r="K43" i="52"/>
  <c r="L43" i="52" s="1"/>
  <c r="K21" i="52"/>
  <c r="E43" i="52"/>
  <c r="E21" i="52"/>
  <c r="L34" i="6"/>
  <c r="F27" i="52"/>
  <c r="F33" i="52" s="1"/>
  <c r="D33" i="52"/>
  <c r="C10" i="52" s="1"/>
  <c r="E14" i="53"/>
  <c r="D38" i="52"/>
  <c r="I17" i="13"/>
  <c r="H28" i="13"/>
  <c r="L38" i="52"/>
  <c r="E5" i="53" l="1"/>
  <c r="G22" i="56"/>
  <c r="K22" i="52"/>
  <c r="F16" i="52"/>
  <c r="E22" i="52"/>
  <c r="G61" i="8"/>
  <c r="B7" i="52"/>
  <c r="D21" i="52"/>
  <c r="C21" i="52"/>
  <c r="C22" i="52" s="1"/>
  <c r="L44" i="52"/>
  <c r="E44" i="52"/>
  <c r="C43" i="52"/>
  <c r="C44" i="52" s="1"/>
  <c r="I43" i="52"/>
  <c r="I44" i="52" s="1"/>
  <c r="I21" i="52"/>
  <c r="I22" i="52" s="1"/>
  <c r="L21" i="52"/>
  <c r="L22" i="52" s="1"/>
  <c r="K44" i="52"/>
  <c r="F38" i="52"/>
  <c r="J17" i="13"/>
  <c r="I28" i="13"/>
  <c r="D43" i="52" l="1"/>
  <c r="B21" i="52"/>
  <c r="B22" i="52" s="1"/>
  <c r="D19" i="53"/>
  <c r="D22" i="52"/>
  <c r="B10" i="52" s="1"/>
  <c r="D22" i="56" s="1"/>
  <c r="F21" i="52"/>
  <c r="F22" i="52" s="1"/>
  <c r="K17" i="13"/>
  <c r="J28" i="13"/>
  <c r="E5" i="52" l="1"/>
  <c r="E6" i="52" s="1"/>
  <c r="E7" i="52" s="1"/>
  <c r="D5" i="53"/>
  <c r="B43" i="52"/>
  <c r="B44" i="52" s="1"/>
  <c r="D44" i="52"/>
  <c r="F43" i="52"/>
  <c r="F44" i="52" s="1"/>
  <c r="L17" i="13"/>
  <c r="K28" i="13"/>
  <c r="M17" i="13" l="1"/>
  <c r="M28" i="13" s="1"/>
  <c r="L28" i="13"/>
</calcChain>
</file>

<file path=xl/sharedStrings.xml><?xml version="1.0" encoding="utf-8"?>
<sst xmlns="http://schemas.openxmlformats.org/spreadsheetml/2006/main" count="1047" uniqueCount="490">
  <si>
    <t>Saudi Aramco</t>
  </si>
  <si>
    <t>Remarks</t>
  </si>
  <si>
    <t>Company Name:</t>
  </si>
  <si>
    <t>Address:</t>
  </si>
  <si>
    <t>($US)</t>
  </si>
  <si>
    <t>Total Revenue</t>
  </si>
  <si>
    <t>Headcount</t>
  </si>
  <si>
    <t>Supplier Name</t>
  </si>
  <si>
    <t>Supplier's IKTVA Ratio</t>
  </si>
  <si>
    <t>Export Sales</t>
  </si>
  <si>
    <t>Number of Saudi National Employees</t>
  </si>
  <si>
    <t>Total Saudi National Salaries, Wages, and Benefits</t>
  </si>
  <si>
    <t>Training Costs</t>
  </si>
  <si>
    <r>
      <t>Description</t>
    </r>
    <r>
      <rPr>
        <vertAlign val="superscript"/>
        <sz val="11"/>
        <color theme="0"/>
        <rFont val="Calibri"/>
        <family val="2"/>
        <scheme val="minor"/>
      </rPr>
      <t>1</t>
    </r>
  </si>
  <si>
    <t>IKTVA Ratio</t>
  </si>
  <si>
    <t>Saudization %</t>
  </si>
  <si>
    <t>Training &amp; Qualification Costs</t>
  </si>
  <si>
    <t>Average Compensation / Saudi National</t>
  </si>
  <si>
    <t>Provided</t>
  </si>
  <si>
    <t>Name:</t>
  </si>
  <si>
    <t>e-mail:</t>
  </si>
  <si>
    <t>Mobile #:</t>
  </si>
  <si>
    <t>Headcounts should be taken from year end GOSI report.</t>
  </si>
  <si>
    <r>
      <t>Total</t>
    </r>
    <r>
      <rPr>
        <b/>
        <vertAlign val="superscript"/>
        <sz val="16"/>
        <color theme="0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</si>
  <si>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In-Kingdom Based Purchases total should agree to Section 3  "Goods &amp; Services - KSA".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</si>
  <si>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Please list your top in-Kingdom suppliers along with their IKTVA ratio (provided by the supplier or estimated by you).  Ideally the detail provided will cover at least 70% of the total for each year.</t>
    </r>
  </si>
  <si>
    <r>
      <rPr>
        <vertAlign val="superscript"/>
        <sz val="10"/>
        <color theme="1"/>
        <rFont val="Helvetica"/>
        <family val="2"/>
      </rPr>
      <t>1</t>
    </r>
    <r>
      <rPr>
        <sz val="10"/>
        <color theme="1"/>
        <rFont val="Helvetica"/>
        <family val="2"/>
      </rPr>
      <t>Please see the IKTVA Survey Guide's instructions for clarifications and definitions.</t>
    </r>
  </si>
  <si>
    <t>Total KSA</t>
  </si>
  <si>
    <t>Exports</t>
  </si>
  <si>
    <t>Saudi Aramco % of Total</t>
  </si>
  <si>
    <t>Goods &amp; Services</t>
  </si>
  <si>
    <t>Supplier Development</t>
  </si>
  <si>
    <t>Employee Headcount</t>
  </si>
  <si>
    <t>Employee Compensation</t>
  </si>
  <si>
    <t>Supplier Development Costs</t>
  </si>
  <si>
    <t>Growth Rate</t>
  </si>
  <si>
    <t>Revenue</t>
  </si>
  <si>
    <t>Payroll $</t>
  </si>
  <si>
    <t>Average compensation</t>
  </si>
  <si>
    <t>Average training cost per trainee</t>
  </si>
  <si>
    <t>Revenue per employee</t>
  </si>
  <si>
    <t>Saudi Employees</t>
  </si>
  <si>
    <t>Total Employees</t>
  </si>
  <si>
    <t>IKTVA</t>
  </si>
  <si>
    <t>Saudization</t>
  </si>
  <si>
    <t>Questions:</t>
  </si>
  <si>
    <t>Training &amp; Development</t>
  </si>
  <si>
    <t>Saudi Aramco Spend</t>
  </si>
  <si>
    <t>Total</t>
  </si>
  <si>
    <t>mm</t>
  </si>
  <si>
    <t>Commentary</t>
  </si>
  <si>
    <t>Five Year Trend</t>
  </si>
  <si>
    <t>A. Goods &amp; Services</t>
  </si>
  <si>
    <t>D. Supplier Development</t>
  </si>
  <si>
    <t>Most Recent Saudization</t>
  </si>
  <si>
    <t>Other Key Data (mm)</t>
  </si>
  <si>
    <t>IK Capital Expenditures</t>
  </si>
  <si>
    <t>IK R&amp;D</t>
  </si>
  <si>
    <t>Headcount - Saudi</t>
  </si>
  <si>
    <t>Headcount - Total</t>
  </si>
  <si>
    <t>C. Training &amp; Development</t>
  </si>
  <si>
    <t>Average Compensation</t>
  </si>
  <si>
    <t>Company Name</t>
  </si>
  <si>
    <t>In-Kingdom Portion</t>
  </si>
  <si>
    <t>2.0 In-Kingdom Goods, Services &amp; Depreciation/Amortization</t>
  </si>
  <si>
    <t>Depreciation &amp; Amortization</t>
  </si>
  <si>
    <t xml:space="preserve">1.0 In-Kingdom (IK) Based Revenue </t>
  </si>
  <si>
    <t xml:space="preserve">Compensation amounts for the year Including salaries &amp; wages, bonuses, housing, and transportation including compensation for all Saudis, including expats.  Excludes costs related to SPSP, interns and co-ops (these costs should be included in Training &amp; Qualification). </t>
  </si>
  <si>
    <t>IK Based Customers Served by IK Operations</t>
  </si>
  <si>
    <t xml:space="preserve">IK Based Customers Served by out-of-Kingdom (OOK) Operations </t>
  </si>
  <si>
    <t>Number of Saudi participating in technical training &amp; qualification activities (both IK and OOK).</t>
  </si>
  <si>
    <t>Total Number of IK Employees (All Nationalities)</t>
  </si>
  <si>
    <t xml:space="preserve">Operating expenses related to research and development activities conducted in-Kingdom, including costs of expats and those incurred with OOK suppliers.  </t>
  </si>
  <si>
    <t>IKTVA Ratio Source (Estimated or Provided)</t>
  </si>
  <si>
    <t>Brief Description of the Types of Materials/Service Provided</t>
  </si>
  <si>
    <t>See Capital Expenditures worksheet</t>
  </si>
  <si>
    <t>Total Capital Expenditures</t>
  </si>
  <si>
    <t>Totals</t>
  </si>
  <si>
    <t>IK Based Operations</t>
  </si>
  <si>
    <t>OOK Based Operations</t>
  </si>
  <si>
    <t>% of Total Revenue</t>
  </si>
  <si>
    <t>% of IK Revenue (Revenue from IK Ops + Exports)</t>
  </si>
  <si>
    <t>Total Headcount</t>
  </si>
  <si>
    <t>Saudi Headcount</t>
  </si>
  <si>
    <t>CAPEX</t>
  </si>
  <si>
    <t>R&amp;D</t>
  </si>
  <si>
    <t>% Increase</t>
  </si>
  <si>
    <t>Total KSA Revenue</t>
  </si>
  <si>
    <t>Uses Revenue (IK Ops + Exports) to Allocate Costs</t>
  </si>
  <si>
    <t>In-Kingdom Total Value Add (IKTVA) Survey</t>
  </si>
  <si>
    <t>IKTVA Ratio KSA</t>
  </si>
  <si>
    <t>IKTVA Ratio SA</t>
  </si>
  <si>
    <t>Company Contact Information</t>
  </si>
  <si>
    <t>Contact Person</t>
  </si>
  <si>
    <t>Office #:</t>
  </si>
  <si>
    <t>Sales to all IK customers (KSA includes sales to Saudi Aramco) from operations based IK.</t>
  </si>
  <si>
    <t>Sales to all IK customers from operations based OOK.</t>
  </si>
  <si>
    <t>Sales from IK operations to OOK customers.</t>
  </si>
  <si>
    <t>Costs incurred by company to support development of IK supply chain capabilities.</t>
  </si>
  <si>
    <t>Vendor ID #</t>
  </si>
  <si>
    <t>Owner-ship %</t>
  </si>
  <si>
    <t>Total Purchases from IK Suppliers</t>
  </si>
  <si>
    <t>Detail provided as a percent of total purchases from IK suppliers.</t>
  </si>
  <si>
    <t xml:space="preserve"> </t>
  </si>
  <si>
    <t xml:space="preserve">Other </t>
  </si>
  <si>
    <t>Total Purchases from OOK Suppliers</t>
  </si>
  <si>
    <t>NO</t>
  </si>
  <si>
    <t>YES</t>
  </si>
  <si>
    <t>Y/N?</t>
  </si>
  <si>
    <t>Land</t>
  </si>
  <si>
    <t>Fiscal Year End:</t>
  </si>
  <si>
    <t>Buildings</t>
  </si>
  <si>
    <t>Purchased IK?</t>
  </si>
  <si>
    <t>Commercial Registration Number</t>
  </si>
  <si>
    <t>5.0 Supplier and Customer Development</t>
  </si>
  <si>
    <t>5.  Please complete the table below for companies that are affiliated or related (subsidiary, JV, etc.) to your company that are included in the IKTVA calculations:</t>
  </si>
  <si>
    <t>Total R&amp;D</t>
  </si>
  <si>
    <t xml:space="preserve">     IK Portion</t>
  </si>
  <si>
    <t xml:space="preserve">     OOK Portion</t>
  </si>
  <si>
    <t>Comm Reg#</t>
  </si>
  <si>
    <t>Total Research &amp; Development Expenses</t>
  </si>
  <si>
    <r>
      <t>8.0 Top In-Kingdom Suppliers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</si>
  <si>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IK Portion from Section 7</t>
  </si>
  <si>
    <t>Category</t>
  </si>
  <si>
    <t>Examples</t>
  </si>
  <si>
    <t>Water treatment, water heating, compressed air system, air conditioning, process cooling water, major electrical components (transformers, switchgear), lighting, poles, interconnect</t>
  </si>
  <si>
    <t>Support Equipment</t>
  </si>
  <si>
    <t>Cranes, stands, dollies</t>
  </si>
  <si>
    <t>Test stands, test instruments, test tooling</t>
  </si>
  <si>
    <t>Vessels, pumps, tanks, process compressors, heat transfer, etc.</t>
  </si>
  <si>
    <t>Heat treatment furnace/ equipment</t>
  </si>
  <si>
    <t>Land Improvements</t>
  </si>
  <si>
    <t>Raw real estate</t>
  </si>
  <si>
    <t>Vehicles - Light</t>
  </si>
  <si>
    <t>Vehicles - Heavy</t>
  </si>
  <si>
    <t>Trucks, vans, cars, trailers, fork lifts, etc.</t>
  </si>
  <si>
    <t>Construction equipment, semi's, mobile cranes</t>
  </si>
  <si>
    <t>IT and Telecom Equipment</t>
  </si>
  <si>
    <t>Test Equipment</t>
  </si>
  <si>
    <t>Process Equipment</t>
  </si>
  <si>
    <t>Specialty Equipment</t>
  </si>
  <si>
    <t>Drilling</t>
  </si>
  <si>
    <t>Onshore &amp; offshore rigs</t>
  </si>
  <si>
    <t>Number of Saudi National Female Employees</t>
  </si>
  <si>
    <t>Total Female Saudi National Salaries, Wages, and Benefits</t>
  </si>
  <si>
    <t>Number of Saudi females participating in technical training &amp; qualification activities (both IK and OOK).</t>
  </si>
  <si>
    <t>Training &amp; qualification expenses related to female Saudi Nationals.</t>
  </si>
  <si>
    <t>1.</t>
  </si>
  <si>
    <t>2.</t>
  </si>
  <si>
    <t>3.</t>
  </si>
  <si>
    <t>4.</t>
  </si>
  <si>
    <t>5.</t>
  </si>
  <si>
    <t xml:space="preserve">       Please name the 5 main roles of female employees in your company.</t>
  </si>
  <si>
    <t xml:space="preserve">     Roles of Female Employees</t>
  </si>
  <si>
    <t xml:space="preserve">     Policies/initiatives to Drive Female Participation</t>
  </si>
  <si>
    <t xml:space="preserve">       Please name any policies or initiatives your company has in place to drive female participation.</t>
  </si>
  <si>
    <t xml:space="preserve">       Please name the 5 main bottlenecks your company faces for employing females.</t>
  </si>
  <si>
    <t xml:space="preserve">     Barriers to Employing Females</t>
  </si>
  <si>
    <t>Vendor ID#s</t>
  </si>
  <si>
    <t>Portion of goods and services purchased from in-Kingdom suppliers related to the revenue generated from in-Kingdom based sales (see above).  Total KSA number is derived directly from the Supplier Table tab (Section 8).</t>
  </si>
  <si>
    <t>Estimated</t>
  </si>
  <si>
    <t>Site improvements, utilities, fencing, paving, grading, concrete, infrastructure</t>
  </si>
  <si>
    <t>Open/enclosed sheds, office buildings, manufacturing facilities, warehouses, camps, portables</t>
  </si>
  <si>
    <t>Lathes, milling machines, CNC, grinders, rolling mills, welders, coating equipment, tooling, etc.</t>
  </si>
  <si>
    <t>Other</t>
  </si>
  <si>
    <t>9.0 Top 15 Out of-Kingdom Suppliers</t>
  </si>
  <si>
    <t>Name of Company</t>
  </si>
  <si>
    <t>3.0 Saudi Compensation</t>
  </si>
  <si>
    <t>4.0 Training &amp; Development of Saudis</t>
  </si>
  <si>
    <t>Female Payroll</t>
  </si>
  <si>
    <t>Training &amp; Development of Female Workforce</t>
  </si>
  <si>
    <t>Additional Information</t>
  </si>
  <si>
    <t>Training &amp; Development Costs</t>
  </si>
  <si>
    <t>Training, development and qualification expenses related to  Saudi Nationals.</t>
  </si>
  <si>
    <t>Year</t>
  </si>
  <si>
    <t>Saudi Payroll</t>
  </si>
  <si>
    <t>r.  Research &amp; Development</t>
  </si>
  <si>
    <t>Saudi Aramco Average Annual Spend (3 yr):</t>
  </si>
  <si>
    <t>Annual Average IKTVA$ (3 yr):</t>
  </si>
  <si>
    <t>No</t>
  </si>
  <si>
    <t xml:space="preserve">Compensation amounts for the year Including salaries &amp; wages, bonuses, housing, and transportation including compensation for all Saudis, including Saudis working OOK.  Excludes costs related to SPSP, interns and co-ops (these costs should be included in Training &amp; Qualification). </t>
  </si>
  <si>
    <t>Co-Owner Name</t>
  </si>
  <si>
    <t>Baseline</t>
  </si>
  <si>
    <t>Furniture &amp; Fixtures</t>
  </si>
  <si>
    <t>Appliances</t>
  </si>
  <si>
    <t>Refridgerators, ovens, washers/dryers</t>
  </si>
  <si>
    <t>Manufacturing Equipment</t>
  </si>
  <si>
    <t>Software</t>
  </si>
  <si>
    <t>Computer software</t>
  </si>
  <si>
    <t>Office furniture, desks, cubicles, office chairs, etc.</t>
  </si>
  <si>
    <t>Training Headcount</t>
  </si>
  <si>
    <t>Expats</t>
  </si>
  <si>
    <t>SA IKTVA Components</t>
  </si>
  <si>
    <t xml:space="preserve"> Baseline</t>
  </si>
  <si>
    <t>Delta</t>
  </si>
  <si>
    <t>3 yr wtd avg</t>
  </si>
  <si>
    <t>A</t>
  </si>
  <si>
    <t>B</t>
  </si>
  <si>
    <t>C</t>
  </si>
  <si>
    <t>D</t>
  </si>
  <si>
    <t>r</t>
  </si>
  <si>
    <t>Draft Executive Summary</t>
  </si>
  <si>
    <t>Capital Asset Additions</t>
  </si>
  <si>
    <t>Building Improvements</t>
  </si>
  <si>
    <t>Other (Describe)</t>
  </si>
  <si>
    <t>Real estate, unimproved property</t>
  </si>
  <si>
    <t>Cranes, stands, dollies, racks</t>
  </si>
  <si>
    <t>Computers, copiers, telephones, PBX switches, VOIP equipment</t>
  </si>
  <si>
    <t>Construction equipment, earth movers, semi's, mobile cranes</t>
  </si>
  <si>
    <t>Refrigerators, ovens, washers/dryers</t>
  </si>
  <si>
    <t>Building improvements</t>
  </si>
  <si>
    <t>Total Aquisition Price</t>
  </si>
  <si>
    <t>IKTVA Ratio Graph Data</t>
  </si>
  <si>
    <t>Comp</t>
  </si>
  <si>
    <t>Baseline Revenue</t>
  </si>
  <si>
    <t xml:space="preserve"> Baseline %</t>
  </si>
  <si>
    <t>Baseline IKTVA%</t>
  </si>
  <si>
    <t>Headcount Data</t>
  </si>
  <si>
    <t>Use KSA? Yes/No</t>
  </si>
  <si>
    <t>B. Saudi Compensation</t>
  </si>
  <si>
    <t>3-Year Weighted Average:</t>
  </si>
  <si>
    <t>Saudi Aramco Revenue as a % of Total Revenue</t>
  </si>
  <si>
    <t>Exports as a % of Total Revenue</t>
  </si>
  <si>
    <t>Produced Locally or Imported? (Materials Only)</t>
  </si>
  <si>
    <t>NA - Service</t>
  </si>
  <si>
    <t>Imported</t>
  </si>
  <si>
    <t>Locally Produced</t>
  </si>
  <si>
    <t>IKTVA Components Used for Graphs</t>
  </si>
  <si>
    <t>Trailing 3 yr avg (MM)</t>
  </si>
  <si>
    <t>Total KSA IKTVA Components</t>
  </si>
  <si>
    <t>Goods &amp; Services (Total)</t>
  </si>
  <si>
    <t>Depreciation Only</t>
  </si>
  <si>
    <t>Depreciation</t>
  </si>
  <si>
    <t>Total Additions</t>
  </si>
  <si>
    <t xml:space="preserve"> In-Kingdom Total Value Add (IKTVA) Survey</t>
  </si>
  <si>
    <t>Please explain why total goods and services as a percentage of revenue increased from xx.x% in 2015 to xx.x&amp;% in 2016, and then to xx.x% in 2017.</t>
  </si>
  <si>
    <t>Please explain why total Saudi compensation as a percentage of revenue increased from xx.x% in 2015 to xx.x&amp;% in 2016, and then to xx.x% in 2017.</t>
  </si>
  <si>
    <t>Please explain why average compensation per Saudi employee increased from $xx,xxx in 2015 to $xx,xxx in 2016, and then to $xx,xxx in 2017.</t>
  </si>
  <si>
    <t>SA</t>
  </si>
  <si>
    <t>KSA</t>
  </si>
  <si>
    <t>IKTVA Components</t>
  </si>
  <si>
    <t>(3 yr wtd avg)</t>
  </si>
  <si>
    <t>IKTVA Baseline</t>
  </si>
  <si>
    <t>Asset Class</t>
  </si>
  <si>
    <t>Final IKTVA Summary as Approved by Saudi Aramco.</t>
  </si>
  <si>
    <t>Saudi Aramco Oil Company</t>
  </si>
  <si>
    <t>Industrial Development &amp; Strategic Supply Department</t>
  </si>
  <si>
    <t>D-309, North Park 2 (Building 3301)</t>
  </si>
  <si>
    <t>Dhahran, 31311 Saudi Arabia</t>
  </si>
  <si>
    <t>Date:</t>
  </si>
  <si>
    <t>Baseline IKTVA Certificate</t>
  </si>
  <si>
    <r>
      <t xml:space="preserve">Has successfully completed and submitted its </t>
    </r>
    <r>
      <rPr>
        <b/>
        <i/>
        <sz val="11"/>
        <color theme="1"/>
        <rFont val="Arial"/>
        <family val="2"/>
      </rPr>
      <t>Baseline</t>
    </r>
    <r>
      <rPr>
        <i/>
        <sz val="11"/>
        <color theme="1"/>
        <rFont val="Arial"/>
        <family val="2"/>
      </rPr>
      <t xml:space="preserve"> Certified IKTVA Survey and has obtained an IKTVA Ratio of:</t>
    </r>
  </si>
  <si>
    <t>Final IKTVA Ratio</t>
  </si>
  <si>
    <t>A (2015 SA)</t>
  </si>
  <si>
    <t>B (2015 SA)</t>
  </si>
  <si>
    <t>C (2015 SA)</t>
  </si>
  <si>
    <t>D (2015 SA)</t>
  </si>
  <si>
    <t>R (2015 SA)</t>
  </si>
  <si>
    <t>IKTVA$ (2015 SA)</t>
  </si>
  <si>
    <t>E (2015 SA)</t>
  </si>
  <si>
    <t>A (2015 KSA)</t>
  </si>
  <si>
    <t>B (2015 KSA)</t>
  </si>
  <si>
    <t>C (2015 KSA)</t>
  </si>
  <si>
    <t>D (2015 KSA)</t>
  </si>
  <si>
    <t>R (2015 KSA)</t>
  </si>
  <si>
    <t>IKTVA$ (2015 KSA)</t>
  </si>
  <si>
    <t>E (2015 KSA)</t>
  </si>
  <si>
    <t>2015 Investment</t>
  </si>
  <si>
    <t>2015 Exports</t>
  </si>
  <si>
    <t>2015 SA Saudi Headcount</t>
  </si>
  <si>
    <t>2015 KSA Saudi Headcount</t>
  </si>
  <si>
    <t>2015 Total Headcount</t>
  </si>
  <si>
    <t>2015 KSA Saudis Trained</t>
  </si>
  <si>
    <t>A. G+S (2016 SA)</t>
  </si>
  <si>
    <t>A. Depreciation (2016 SA)</t>
  </si>
  <si>
    <t>B (2016 SA)</t>
  </si>
  <si>
    <t>C (2016 SA)</t>
  </si>
  <si>
    <t>D (2016 SA)</t>
  </si>
  <si>
    <t>R (2016 SA)</t>
  </si>
  <si>
    <t>IKTVA$ (2016 SA)</t>
  </si>
  <si>
    <t>E (2016 SA)</t>
  </si>
  <si>
    <t>A. G+S (2016 KSA)</t>
  </si>
  <si>
    <t>A. Depreciation (2016 KSA)</t>
  </si>
  <si>
    <t>B (2016 KSA)</t>
  </si>
  <si>
    <t>C (2016 KSA)</t>
  </si>
  <si>
    <t>D (2016 KSA)</t>
  </si>
  <si>
    <t>R (2016 KSA)</t>
  </si>
  <si>
    <t>IKTVA$ (2016 KSA)</t>
  </si>
  <si>
    <t>E (2016 KSA)</t>
  </si>
  <si>
    <t>2016 Investment</t>
  </si>
  <si>
    <t>2016 Exports</t>
  </si>
  <si>
    <t>2016 SA Saudi Headcount</t>
  </si>
  <si>
    <t>2016 KSA Saudi Headcount</t>
  </si>
  <si>
    <t>2016 Total Headcount</t>
  </si>
  <si>
    <t>2016 Female Headcount</t>
  </si>
  <si>
    <t>2016 Female Salaries</t>
  </si>
  <si>
    <t>2016 KSA Saudis Trained</t>
  </si>
  <si>
    <t>2016 KSA Females Trained</t>
  </si>
  <si>
    <t>A. G+S (2017 SA)</t>
  </si>
  <si>
    <t>A. Depreciation (2017 SA)</t>
  </si>
  <si>
    <t>B (2017 SA)</t>
  </si>
  <si>
    <t>C (2017 SA)</t>
  </si>
  <si>
    <t>D (2017 SA)</t>
  </si>
  <si>
    <t>R (2017 SA)</t>
  </si>
  <si>
    <t>IKTVA$ (2017 SA)</t>
  </si>
  <si>
    <t>E (2017 SA)</t>
  </si>
  <si>
    <t>A. G+S (2017 KSA)</t>
  </si>
  <si>
    <t>A. Depreciation (2017 KSA)</t>
  </si>
  <si>
    <t>B (2017 KSA)</t>
  </si>
  <si>
    <t>C (2017 KSA)</t>
  </si>
  <si>
    <t>D (2017 KSA)</t>
  </si>
  <si>
    <t>R (2017 KSA)</t>
  </si>
  <si>
    <t>IKTVA$ (2017 KSA)</t>
  </si>
  <si>
    <t>E (2017 KSA)</t>
  </si>
  <si>
    <t>2017 Investment</t>
  </si>
  <si>
    <t>2017 Exports</t>
  </si>
  <si>
    <t>2017 SA Saudi Headcount</t>
  </si>
  <si>
    <t>2017 KSA Saudi Headcount</t>
  </si>
  <si>
    <t>2017 Total Headcount</t>
  </si>
  <si>
    <t>2017 Female Headcount</t>
  </si>
  <si>
    <t>2017 Female Salaries</t>
  </si>
  <si>
    <t>2017 KSA Saudis Trained</t>
  </si>
  <si>
    <t>2017 KSA Females Trained</t>
  </si>
  <si>
    <t>2015 WW R&amp;D</t>
  </si>
  <si>
    <t>9.0 Saudi Jobs</t>
  </si>
  <si>
    <r>
      <t xml:space="preserve">Jobs Categories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</si>
  <si>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</si>
  <si>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</si>
  <si>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</si>
  <si>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</si>
  <si>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</si>
  <si>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</si>
  <si>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</si>
  <si>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</si>
  <si>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</si>
  <si>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Armed forces occupations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</si>
  <si>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Categories above are based on ISCO (International Standard Classification of Occupations)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</si>
  <si>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Please refer to </t>
    </r>
    <r>
      <rPr>
        <b/>
        <u/>
        <sz val="11"/>
        <color rgb="FF1F497D"/>
        <rFont val="Calibri"/>
        <family val="2"/>
        <scheme val="minor"/>
      </rPr>
      <t>http://www.ilo.org/public/english/bureau/stat/isco/docs/resol08.pdf</t>
    </r>
    <r>
      <rPr>
        <sz val="11"/>
        <color theme="1"/>
        <rFont val="Calibri"/>
        <family val="2"/>
        <scheme val="minor"/>
      </rPr>
      <t xml:space="preserve"> for more details.</t>
    </r>
  </si>
  <si>
    <r>
      <t xml:space="preserve">Description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</si>
  <si>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Expats Headcount</t>
  </si>
  <si>
    <t>Difference</t>
  </si>
  <si>
    <t>Chief executives, senior officials, and managers</t>
  </si>
  <si>
    <t>Science, engineering, business, administration, and IT professionals</t>
  </si>
  <si>
    <t>Science, engineering, business, administration, and IT associate professionals</t>
  </si>
  <si>
    <t>General and keyboard, customer services, numerical and material recording clerks</t>
  </si>
  <si>
    <t>Personal service, sales, personal care, and protective services workers</t>
  </si>
  <si>
    <t>Market-oriented skilled agricultural, forestry, and fishing workers</t>
  </si>
  <si>
    <t>Building, metal, machinery, handicraft, electrical and electronic, and related trades workers</t>
  </si>
  <si>
    <t>Stationary plant and machine operators, assemblers, drivers and mobile plant operators</t>
  </si>
  <si>
    <t>Cleaners, helpers, labourers, and elementary workers</t>
  </si>
  <si>
    <t>Commissioned/non-commissioned armed forces officers, and armed forces occupations</t>
  </si>
  <si>
    <t>10.0 Capital Expenditure Net Additions</t>
  </si>
  <si>
    <t>11.0 Asset Depreciation &amp; Amortization</t>
  </si>
  <si>
    <t>12.0 Female Employment</t>
  </si>
  <si>
    <t>Saudi Growth Rate</t>
  </si>
  <si>
    <t>X</t>
  </si>
  <si>
    <t>Export Revenue Factor</t>
  </si>
  <si>
    <t>X. Export Revenue Factor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</si>
  <si>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Please refer to </t>
    </r>
    <r>
      <rPr>
        <b/>
        <sz val="11"/>
        <color theme="3"/>
        <rFont val="Calibri"/>
        <family val="2"/>
        <scheme val="minor"/>
      </rPr>
      <t xml:space="preserve"> </t>
    </r>
    <r>
      <rPr>
        <b/>
        <u/>
        <sz val="11"/>
        <color theme="3"/>
        <rFont val="Calibri"/>
        <family val="2"/>
        <scheme val="minor"/>
      </rPr>
      <t>http://www.occupationalinfo.org/onet/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to complete the code and the title columns.</t>
    </r>
  </si>
  <si>
    <t>Code</t>
  </si>
  <si>
    <t>Title</t>
  </si>
  <si>
    <r>
      <t xml:space="preserve">Occupations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</si>
  <si>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6.0 In-Kingdom Research &amp; Development</t>
  </si>
  <si>
    <t>7.0 In-Kingdom Investments</t>
  </si>
  <si>
    <t>Pre-Export IKTVA Ratio</t>
  </si>
  <si>
    <t>Saudi Aramco Portion %</t>
  </si>
  <si>
    <t>Saudi Aramco Portion $</t>
  </si>
  <si>
    <t>1) For last row in "Page 5a. CAPEX Table", the protection for IKTVA ratio cells have been removed.</t>
  </si>
  <si>
    <t>2) For last row in "Page 5a. CAPEX Table", drop down menus for "Purchased IK?" columns have been added</t>
  </si>
  <si>
    <t>Segment</t>
  </si>
  <si>
    <t>Description &amp; Examples</t>
  </si>
  <si>
    <t>Agents of Non-metallic Manufacturers</t>
  </si>
  <si>
    <t>Stockiest and resellers of plastic &amp; non-metallic manufacturing where raw materials are sourced locally</t>
  </si>
  <si>
    <t>Air Conditioning Manufacturing</t>
  </si>
  <si>
    <t>Air conditioning manufacturing</t>
  </si>
  <si>
    <t>Car Agency</t>
  </si>
  <si>
    <t>Automotive / truck dealerships</t>
  </si>
  <si>
    <t xml:space="preserve">Car/Truck/Equipment Rental </t>
  </si>
  <si>
    <t xml:space="preserve">Vehicle and equipment rental agencies – including power generation equipment </t>
  </si>
  <si>
    <t>Cement/Concrete Manufacturing</t>
  </si>
  <si>
    <t>Cement, concrete, brick, precast manufacturers</t>
  </si>
  <si>
    <t>Chemical Blending Plants</t>
  </si>
  <si>
    <t>Manufacturing using imported raw materials, including paint manufacturers</t>
  </si>
  <si>
    <t>Chemical Manufacturing</t>
  </si>
  <si>
    <t>Chemical, oil, and gas industries of locally sourced raw materials (blending plants are excluded)</t>
  </si>
  <si>
    <t>Civil Construction</t>
  </si>
  <si>
    <t>Civil construction contractors, scaffolding erection and installation services</t>
  </si>
  <si>
    <t>Consulting , Engineering &amp; Accounting</t>
  </si>
  <si>
    <t>Electrical Materials Manufacturing</t>
  </si>
  <si>
    <t>Switchgear, junction boxes, trays, conduits, fixtures, etc.</t>
  </si>
  <si>
    <t>Facility Rental</t>
  </si>
  <si>
    <t>Office buildings, compounds, hotels, warehouses, etc.</t>
  </si>
  <si>
    <t>Food Industry &amp; Catering</t>
  </si>
  <si>
    <t>Food producers and catering services (resellers excluded), drinking water plants/manufacturers</t>
  </si>
  <si>
    <t>Fuel Services/Gas Stations</t>
  </si>
  <si>
    <t>Government Fees (Excluded)</t>
  </si>
  <si>
    <t>Fees such as import duties and iqama fees</t>
  </si>
  <si>
    <t>Government Relations</t>
  </si>
  <si>
    <t>Custom clearance, passport and iqama services, etc.</t>
  </si>
  <si>
    <t>Industrial Services</t>
  </si>
  <si>
    <t>Test &amp; inspection, certification, calibration, preventive maintenance, blasting &amp; painting, coating &amp; galvanizing, scaffolding rental</t>
  </si>
  <si>
    <t>Instrumentation Manufacturing</t>
  </si>
  <si>
    <t xml:space="preserve">Measurement equipment, pressure &amp; temperature gauges , flow meters, etc. </t>
  </si>
  <si>
    <t>Insurance</t>
  </si>
  <si>
    <t>Finance charges (except charges from related entities and non-financial institutions)</t>
  </si>
  <si>
    <t xml:space="preserve">IT / Communication Services </t>
  </si>
  <si>
    <t>Installation and maintenance of computer and telecommunication equipment, website design, and app development</t>
  </si>
  <si>
    <t>IT, Communication &amp; Electronics Manufacturing</t>
  </si>
  <si>
    <t>Manufacturing of computer &amp; electrical components, communication equipment (agents/resellers are not included)</t>
  </si>
  <si>
    <t>Legal Services</t>
  </si>
  <si>
    <t>Law firms</t>
  </si>
  <si>
    <t>Logistics &amp; Transportation</t>
  </si>
  <si>
    <t>All shipping, transportation and cargo service providers, Saudi based airlines</t>
  </si>
  <si>
    <t>Machining Services</t>
  </si>
  <si>
    <t>Machining, threading, and welding</t>
  </si>
  <si>
    <t>Manpower Suppliers</t>
  </si>
  <si>
    <t>Excluding recruitment agencies</t>
  </si>
  <si>
    <t xml:space="preserve">Medical Services </t>
  </si>
  <si>
    <t>Hospitals, pharmacies, clinics, healthcare providers, medical insurance</t>
  </si>
  <si>
    <t>Offshore Drilling</t>
  </si>
  <si>
    <t>On-shore Drilling</t>
  </si>
  <si>
    <t>Other Services</t>
  </si>
  <si>
    <t>Non-core business (advertising services, print shops, packing services, janitorial services, pest control, material disposal services)</t>
  </si>
  <si>
    <t>Pipe Manufacturing</t>
  </si>
  <si>
    <t>Varies based on type of pipe. Excluding non-metallic pipes. Contact supplier for their iktva ratio.</t>
  </si>
  <si>
    <t>Enter IKTVA %</t>
  </si>
  <si>
    <t>Plastic &amp; Non-metallic Manufacturing</t>
  </si>
  <si>
    <t>Gaskets, PVC pipes &amp; fittings, non-metallic pipes, and other materials where raw material is sourced locally</t>
  </si>
  <si>
    <t>Power Distribution Manufacturing</t>
  </si>
  <si>
    <t>Electrical cables, distribution equipment, etc.</t>
  </si>
  <si>
    <t>Real Estate Development</t>
  </si>
  <si>
    <t>Real-estate development companies</t>
  </si>
  <si>
    <t>Recyclers</t>
  </si>
  <si>
    <t>Metal scrap/paper/plastic /rubber</t>
  </si>
  <si>
    <t>Rotating Equipment Manufacturing</t>
  </si>
  <si>
    <t>Pumps, compressors, gas turbines, mechanical seals, control valves</t>
  </si>
  <si>
    <t>Safety Materials Manufacturing</t>
  </si>
  <si>
    <t>Local manufacturing of safety and protective materials e.g. safety shoes, hard hats, safety glasses/goggles</t>
  </si>
  <si>
    <t>Security Services</t>
  </si>
  <si>
    <t xml:space="preserve">Guard and patrol services; armored car services </t>
  </si>
  <si>
    <t>Static Equipment Manufacturing</t>
  </si>
  <si>
    <t>Such as tanks, pressure vessels, valves (control valves excluded)</t>
  </si>
  <si>
    <t>Steel Rebar Manufacturing</t>
  </si>
  <si>
    <t>Tire Agency</t>
  </si>
  <si>
    <t>Resellers and service providers of tires</t>
  </si>
  <si>
    <t>Trading (Local industries)</t>
  </si>
  <si>
    <t>Agents of locally produced materials – score is 10 points less than manufacturing. Example: local food producer is assigned 40%, then agent of local producer is 30%</t>
  </si>
  <si>
    <t>Trading Company</t>
  </si>
  <si>
    <t>Agents/resellers of imported materials</t>
  </si>
  <si>
    <t>Trading of Local Building Materials</t>
  </si>
  <si>
    <t>Agents of building materials where materials are produced locally (steel rebar, sand, bricks)</t>
  </si>
  <si>
    <t>Travel Agencies</t>
  </si>
  <si>
    <t>Travel and booking related services</t>
  </si>
  <si>
    <t>Utilities</t>
  </si>
  <si>
    <t>National companies such as SABIC, Aramco, SADARA, etc. Power, water, and telecommunications entities e.g. SEC, SWCC, STC, ZAIN</t>
  </si>
  <si>
    <t>Wooden Products Manufacturing</t>
  </si>
  <si>
    <t>Business Segment</t>
  </si>
  <si>
    <t>Financing Costs</t>
  </si>
  <si>
    <t>Expats Benefits</t>
  </si>
  <si>
    <t>SA IKTVA</t>
  </si>
  <si>
    <t>Total KSA IKTVA</t>
  </si>
  <si>
    <t>4) Deleted line 53 in Page 5a</t>
  </si>
  <si>
    <t>6) Added Expats Benefits and Financing Costs in Page 3 - Top IK Suppliers Table</t>
  </si>
  <si>
    <t>Saudi Jobs Info:</t>
  </si>
  <si>
    <t>Company's Name</t>
  </si>
  <si>
    <t>Job Code</t>
  </si>
  <si>
    <t xml:space="preserve">Jobs Categories </t>
  </si>
  <si>
    <t>2016 Saudi Headcount</t>
  </si>
  <si>
    <t>2016 Expats Headcount</t>
  </si>
  <si>
    <t>2016 Total</t>
  </si>
  <si>
    <t>2016 Saudization %</t>
  </si>
  <si>
    <t>2017 Saudi Headcount</t>
  </si>
  <si>
    <t>2017 Expats Headcount</t>
  </si>
  <si>
    <t>2017 Total</t>
  </si>
  <si>
    <t>2017 Saudization %</t>
  </si>
  <si>
    <t>Portion of depreciation/amortization from fixed assets acquired from IK suppliers.  Total KSA number is derived directly from the Depreciation Tab (Section 11).</t>
  </si>
  <si>
    <t>Mohammed  A. Mahri, Division Head</t>
  </si>
  <si>
    <t>IKTVA Support Division</t>
  </si>
  <si>
    <t>3) Changed the formatting of fiscal year end date (cell B3) and added validation for it in "Page 1. Company Information"</t>
  </si>
  <si>
    <t xml:space="preserve">5) Added Business Segment Column in Page 3 - Top IK Suppliers Table, and made IKTVA ratios auto-generated. </t>
  </si>
  <si>
    <t>7) Protected "C61-D61-E61-F61-G61" in the Top IK Supplier Table.</t>
  </si>
  <si>
    <t>9) Updated the Flat File tab to include Saudi Jobs.</t>
  </si>
  <si>
    <t>8) Updated the IKTVA ratio for "Building improvements", "Process Equipment", and "Specialty Equipment"</t>
  </si>
  <si>
    <t>10) Removed the merge applied on the Supplier Name Column ( in Page 3 - Top IK Suppliers Table.)</t>
  </si>
  <si>
    <t>12) Conditional formatting to highlight the changes done on the auto-populated suppliers' IKTVA ratios</t>
  </si>
  <si>
    <t>11) Updated the IKTVA Certificate Tab - "Division Name and Division Head Name", and added a formula for the Company Name</t>
  </si>
  <si>
    <t>13) Fixed the formula that populates the suppliers' IKTVA ratios as well as conditional formatting - "IKTVA ratios for Car Agency and Tire Agency are not impacted by "imported"</t>
  </si>
  <si>
    <t>14) Added reminder to check for CAPEX testing.</t>
  </si>
  <si>
    <t>15) Added note to Executive Summary to list entities included.</t>
  </si>
  <si>
    <t>16) Fixed the revenue ratio for supplier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</si>
</sst>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"/>
    <numFmt numFmtId="167" formatCode="_(&quot;$&quot;* #,##0.0_);_(&quot;$&quot;* \(#,##0.0\);_(&quot;$&quot;* &quot;-&quot;??_);_(@_)"/>
    <numFmt numFmtId="168" formatCode="[$-409]d\-mmm;@"/>
    <numFmt numFmtId="169" formatCode="#,##0.0_);[Red]\(#,##0.0\)"/>
    <numFmt numFmtId="170" formatCode="[$-409]d\-mmm\-yy;@"/>
  </numFmts>
  <fonts count="5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vertAlign val="superscript"/>
      <sz val="10"/>
      <color theme="1"/>
      <name val="Helvetica"/>
      <family val="2"/>
    </font>
    <font>
      <b/>
      <sz val="12"/>
      <color theme="0"/>
      <name val="Helvetica"/>
      <family val="2"/>
    </font>
    <font>
      <b/>
      <sz val="16"/>
      <color theme="0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sz val="36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Helvetica"/>
      <family val="2"/>
    </font>
    <font>
      <b/>
      <sz val="12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u/>
      <sz val="11"/>
      <color rgb="FF1F497D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4"/>
      <color rgb="FF0070C0"/>
      <name val="Arial"/>
      <family val="2"/>
    </font>
    <font>
      <sz val="28"/>
      <color rgb="FF00B050"/>
      <name val="Arial"/>
      <family val="2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 tint="0.39994506668294322"/>
        <bgColor theme="3" tint="-0.249977111117893"/>
      </patternFill>
    </fill>
    <fill>
      <patternFill patternType="darkDown">
        <fgColor theme="3" tint="-0.24994659260841701"/>
        <bgColor theme="3" tint="0.39991454817346722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5"/>
      </right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medium">
        <color rgb="FF0070C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theme="5"/>
      </right>
      <top/>
      <bottom/>
      <diagonal/>
    </border>
    <border>
      <left/>
      <right style="medium">
        <color theme="5"/>
      </right>
      <top/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58">
    <xf numFmtId="0" fontId="0" fillId="0" borderId="0" xfId="0"/>
    <xf numFmtId="0" fontId="1" fillId="0" borderId="0" xfId="0" applyFont="1" applyAlignment="1"/>
    <xf numFmtId="0" fontId="0" fillId="0" borderId="0" xfId="0"/>
    <xf numFmtId="0" fontId="9" fillId="0" borderId="0" xfId="0" applyFont="1"/>
    <xf numFmtId="0" fontId="9" fillId="9" borderId="0" xfId="0" applyFont="1" applyFill="1"/>
    <xf numFmtId="0" fontId="0" fillId="9" borderId="0" xfId="0" applyFill="1"/>
    <xf numFmtId="165" fontId="0" fillId="0" borderId="0" xfId="2" applyNumberFormat="1" applyFont="1" applyAlignment="1">
      <alignment horizontal="right"/>
    </xf>
    <xf numFmtId="0" fontId="0" fillId="0" borderId="0" xfId="0" applyAlignment="1">
      <alignment horizontal="center"/>
    </xf>
    <xf numFmtId="6" fontId="0" fillId="0" borderId="0" xfId="0" applyNumberFormat="1"/>
    <xf numFmtId="9" fontId="0" fillId="0" borderId="0" xfId="0" applyNumberFormat="1"/>
    <xf numFmtId="9" fontId="0" fillId="0" borderId="0" xfId="2" applyFont="1"/>
    <xf numFmtId="0" fontId="9" fillId="0" borderId="13" xfId="0" applyFont="1" applyBorder="1"/>
    <xf numFmtId="0" fontId="0" fillId="0" borderId="13" xfId="0" applyBorder="1"/>
    <xf numFmtId="0" fontId="1" fillId="0" borderId="47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0" fillId="0" borderId="0" xfId="0" applyNumberFormat="1"/>
    <xf numFmtId="6" fontId="0" fillId="8" borderId="20" xfId="0" applyNumberFormat="1" applyFont="1" applyFill="1" applyBorder="1" applyAlignment="1" applyProtection="1">
      <alignment horizontal="right" vertical="top"/>
    </xf>
    <xf numFmtId="6" fontId="33" fillId="0" borderId="5" xfId="0" applyNumberFormat="1" applyFont="1" applyBorder="1" applyAlignment="1" applyProtection="1">
      <alignment horizontal="right" vertical="center"/>
      <protection locked="0"/>
    </xf>
    <xf numFmtId="6" fontId="33" fillId="0" borderId="6" xfId="0" applyNumberFormat="1" applyFont="1" applyBorder="1" applyAlignment="1" applyProtection="1">
      <alignment horizontal="right" vertical="center"/>
      <protection locked="0"/>
    </xf>
    <xf numFmtId="38" fontId="33" fillId="0" borderId="7" xfId="0" applyNumberFormat="1" applyFont="1" applyBorder="1" applyAlignment="1" applyProtection="1">
      <alignment horizontal="center" vertical="center"/>
      <protection locked="0"/>
    </xf>
    <xf numFmtId="38" fontId="33" fillId="0" borderId="6" xfId="0" applyNumberFormat="1" applyFont="1" applyBorder="1" applyAlignment="1" applyProtection="1">
      <alignment horizontal="center" vertical="center"/>
      <protection locked="0"/>
    </xf>
    <xf numFmtId="38" fontId="33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34" fillId="0" borderId="23" xfId="0" applyFont="1" applyBorder="1" applyAlignment="1" applyProtection="1">
      <alignment vertical="top"/>
      <protection locked="0"/>
    </xf>
    <xf numFmtId="0" fontId="34" fillId="3" borderId="23" xfId="0" applyFont="1" applyFill="1" applyBorder="1" applyAlignment="1" applyProtection="1">
      <alignment vertical="top"/>
      <protection locked="0"/>
    </xf>
    <xf numFmtId="6" fontId="33" fillId="0" borderId="20" xfId="0" applyNumberFormat="1" applyFont="1" applyBorder="1" applyAlignment="1" applyProtection="1">
      <alignment horizontal="center" vertical="top"/>
      <protection locked="0"/>
    </xf>
    <xf numFmtId="6" fontId="33" fillId="3" borderId="20" xfId="0" applyNumberFormat="1" applyFont="1" applyFill="1" applyBorder="1" applyAlignment="1" applyProtection="1">
      <alignment horizontal="center" vertical="top"/>
      <protection locked="0"/>
    </xf>
    <xf numFmtId="0" fontId="1" fillId="0" borderId="78" xfId="0" applyFont="1" applyFill="1" applyBorder="1" applyAlignment="1" applyProtection="1">
      <protection locked="0"/>
    </xf>
    <xf numFmtId="0" fontId="0" fillId="0" borderId="81" xfId="0" applyBorder="1" applyAlignment="1">
      <alignment vertical="center" wrapText="1"/>
    </xf>
    <xf numFmtId="0" fontId="0" fillId="0" borderId="80" xfId="0" applyBorder="1" applyAlignment="1">
      <alignment vertical="center"/>
    </xf>
    <xf numFmtId="0" fontId="35" fillId="10" borderId="34" xfId="0" applyFont="1" applyFill="1" applyBorder="1" applyAlignment="1">
      <alignment horizontal="center" vertical="center"/>
    </xf>
    <xf numFmtId="0" fontId="35" fillId="10" borderId="79" xfId="0" applyFont="1" applyFill="1" applyBorder="1" applyAlignment="1">
      <alignment horizontal="center" vertical="center"/>
    </xf>
    <xf numFmtId="9" fontId="0" fillId="0" borderId="81" xfId="2" applyFont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34" fillId="0" borderId="23" xfId="0" applyFont="1" applyBorder="1" applyAlignment="1" applyProtection="1">
      <alignment horizontal="left" vertical="top"/>
      <protection locked="0"/>
    </xf>
    <xf numFmtId="0" fontId="34" fillId="3" borderId="23" xfId="0" applyFont="1" applyFill="1" applyBorder="1" applyAlignment="1" applyProtection="1">
      <alignment horizontal="left" vertical="top"/>
      <protection locked="0"/>
    </xf>
    <xf numFmtId="0" fontId="16" fillId="5" borderId="13" xfId="0" applyFont="1" applyFill="1" applyBorder="1" applyAlignment="1" applyProtection="1">
      <alignment horizontal="left"/>
    </xf>
    <xf numFmtId="0" fontId="16" fillId="5" borderId="13" xfId="0" applyFont="1" applyFill="1" applyBorder="1" applyProtection="1"/>
    <xf numFmtId="6" fontId="8" fillId="5" borderId="13" xfId="0" applyNumberFormat="1" applyFont="1" applyFill="1" applyBorder="1" applyAlignment="1" applyProtection="1">
      <alignment horizontal="center"/>
    </xf>
    <xf numFmtId="0" fontId="16" fillId="5" borderId="13" xfId="0" applyFont="1" applyFill="1" applyBorder="1" applyAlignment="1" applyProtection="1">
      <alignment horizontal="center"/>
    </xf>
    <xf numFmtId="6" fontId="8" fillId="5" borderId="1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22" fillId="0" borderId="12" xfId="0" applyFont="1" applyBorder="1" applyAlignment="1" applyProtection="1"/>
    <xf numFmtId="0" fontId="22" fillId="0" borderId="0" xfId="0" applyFont="1" applyBorder="1" applyAlignment="1" applyProtection="1"/>
    <xf numFmtId="0" fontId="22" fillId="0" borderId="0" xfId="0" applyFont="1" applyProtection="1"/>
    <xf numFmtId="9" fontId="22" fillId="0" borderId="0" xfId="2" applyFont="1" applyAlignment="1" applyProtection="1">
      <alignment horizontal="right"/>
    </xf>
    <xf numFmtId="0" fontId="0" fillId="0" borderId="0" xfId="0" applyBorder="1" applyAlignment="1" applyProtection="1"/>
    <xf numFmtId="6" fontId="0" fillId="0" borderId="0" xfId="0" applyNumberFormat="1" applyAlignment="1" applyProtection="1">
      <alignment horizontal="right"/>
    </xf>
    <xf numFmtId="0" fontId="0" fillId="0" borderId="0" xfId="0" quotePrefix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9" fontId="19" fillId="3" borderId="20" xfId="0" applyNumberFormat="1" applyFont="1" applyFill="1" applyBorder="1" applyAlignment="1" applyProtection="1">
      <alignment horizontal="center" vertical="top"/>
    </xf>
    <xf numFmtId="6" fontId="0" fillId="0" borderId="20" xfId="0" applyNumberFormat="1" applyFont="1" applyBorder="1" applyAlignment="1" applyProtection="1">
      <alignment horizontal="right" vertical="top"/>
    </xf>
    <xf numFmtId="6" fontId="0" fillId="3" borderId="20" xfId="0" applyNumberFormat="1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1" fillId="0" borderId="0" xfId="0" applyFont="1" applyAlignment="1" applyProtection="1">
      <alignment horizontal="left"/>
    </xf>
    <xf numFmtId="164" fontId="1" fillId="0" borderId="0" xfId="1" applyNumberFormat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8" fillId="12" borderId="69" xfId="1" applyNumberFormat="1" applyFont="1" applyFill="1" applyBorder="1" applyAlignment="1" applyProtection="1">
      <alignment horizontal="center" vertical="center" wrapText="1"/>
    </xf>
    <xf numFmtId="164" fontId="8" fillId="12" borderId="19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0" xfId="0" applyFont="1" applyProtection="1"/>
    <xf numFmtId="0" fontId="0" fillId="0" borderId="0" xfId="0" applyAlignment="1" applyProtection="1">
      <alignment horizontal="right"/>
    </xf>
    <xf numFmtId="168" fontId="1" fillId="0" borderId="0" xfId="0" applyNumberFormat="1" applyFont="1" applyAlignment="1" applyProtection="1">
      <alignment horizontal="left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 indent="1"/>
    </xf>
    <xf numFmtId="0" fontId="0" fillId="7" borderId="7" xfId="0" applyFill="1" applyBorder="1" applyProtection="1"/>
    <xf numFmtId="0" fontId="0" fillId="7" borderId="8" xfId="0" applyFill="1" applyBorder="1" applyProtection="1"/>
    <xf numFmtId="0" fontId="9" fillId="0" borderId="0" xfId="0" applyFont="1" applyProtection="1"/>
    <xf numFmtId="0" fontId="15" fillId="5" borderId="0" xfId="0" applyFont="1" applyFill="1" applyAlignment="1" applyProtection="1">
      <alignment horizontal="left" vertical="center" wrapText="1" indent="1"/>
    </xf>
    <xf numFmtId="9" fontId="2" fillId="5" borderId="0" xfId="2" applyNumberFormat="1" applyFont="1" applyFill="1" applyAlignment="1" applyProtection="1">
      <alignment horizontal="center"/>
    </xf>
    <xf numFmtId="0" fontId="2" fillId="5" borderId="14" xfId="0" applyFont="1" applyFill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 wrapText="1"/>
    </xf>
    <xf numFmtId="0" fontId="2" fillId="5" borderId="16" xfId="0" applyFont="1" applyFill="1" applyBorder="1" applyAlignment="1" applyProtection="1">
      <alignment horizontal="left" vertical="center" wrapText="1"/>
    </xf>
    <xf numFmtId="6" fontId="0" fillId="0" borderId="0" xfId="0" applyNumberFormat="1" applyProtection="1"/>
    <xf numFmtId="0" fontId="5" fillId="0" borderId="54" xfId="0" applyFont="1" applyBorder="1" applyAlignment="1" applyProtection="1">
      <alignment horizontal="left" vertical="center" wrapText="1" indent="1"/>
    </xf>
    <xf numFmtId="0" fontId="5" fillId="0" borderId="57" xfId="0" applyFont="1" applyBorder="1" applyAlignment="1" applyProtection="1">
      <alignment horizontal="left" vertical="center" wrapText="1" indent="1"/>
    </xf>
    <xf numFmtId="0" fontId="3" fillId="4" borderId="15" xfId="0" applyFont="1" applyFill="1" applyBorder="1" applyAlignment="1" applyProtection="1">
      <alignment horizontal="left" vertical="center" wrapText="1" indent="1"/>
    </xf>
    <xf numFmtId="0" fontId="5" fillId="0" borderId="54" xfId="0" applyFont="1" applyBorder="1" applyAlignment="1" applyProtection="1">
      <alignment vertical="center" wrapText="1"/>
    </xf>
    <xf numFmtId="0" fontId="5" fillId="0" borderId="57" xfId="0" applyFont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vertical="center"/>
    </xf>
    <xf numFmtId="0" fontId="5" fillId="4" borderId="15" xfId="0" applyFont="1" applyFill="1" applyBorder="1" applyAlignment="1" applyProtection="1">
      <alignment horizontal="left" vertical="center" wrapText="1" indent="1"/>
    </xf>
    <xf numFmtId="0" fontId="5" fillId="0" borderId="58" xfId="0" applyFont="1" applyBorder="1" applyAlignment="1" applyProtection="1">
      <alignment horizontal="left" vertical="center" wrapText="1" indent="1"/>
    </xf>
    <xf numFmtId="0" fontId="5" fillId="0" borderId="59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left" vertical="center" wrapText="1" indent="2"/>
    </xf>
    <xf numFmtId="0" fontId="5" fillId="0" borderId="72" xfId="0" applyFont="1" applyBorder="1" applyAlignment="1" applyProtection="1">
      <alignment horizontal="left" vertical="center" wrapText="1" indent="2"/>
    </xf>
    <xf numFmtId="0" fontId="5" fillId="0" borderId="75" xfId="0" applyFont="1" applyBorder="1" applyAlignment="1" applyProtection="1">
      <alignment horizontal="left" vertical="center" wrapText="1" indent="1"/>
    </xf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right"/>
    </xf>
    <xf numFmtId="0" fontId="0" fillId="6" borderId="6" xfId="0" applyFill="1" applyBorder="1" applyProtection="1"/>
    <xf numFmtId="0" fontId="33" fillId="6" borderId="5" xfId="0" applyFont="1" applyFill="1" applyBorder="1" applyAlignment="1" applyProtection="1">
      <alignment horizontal="right"/>
    </xf>
    <xf numFmtId="0" fontId="0" fillId="7" borderId="1" xfId="0" applyFill="1" applyBorder="1" applyProtection="1"/>
    <xf numFmtId="0" fontId="0" fillId="7" borderId="12" xfId="0" applyFill="1" applyBorder="1" applyProtection="1"/>
    <xf numFmtId="0" fontId="0" fillId="6" borderId="5" xfId="0" applyFill="1" applyBorder="1" applyAlignment="1" applyProtection="1">
      <alignment horizontal="right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9" fontId="2" fillId="5" borderId="0" xfId="2" applyFont="1" applyFill="1" applyProtection="1"/>
    <xf numFmtId="10" fontId="2" fillId="5" borderId="0" xfId="2" applyNumberFormat="1" applyFont="1" applyFill="1" applyAlignment="1" applyProtection="1">
      <alignment horizontal="center"/>
    </xf>
    <xf numFmtId="0" fontId="5" fillId="4" borderId="14" xfId="0" applyFont="1" applyFill="1" applyBorder="1" applyAlignment="1" applyProtection="1">
      <alignment horizontal="left" vertical="center" wrapText="1" indent="1"/>
    </xf>
    <xf numFmtId="0" fontId="5" fillId="4" borderId="16" xfId="0" applyFont="1" applyFill="1" applyBorder="1" applyAlignment="1" applyProtection="1">
      <alignment horizontal="left" vertical="center" wrapText="1" indent="1"/>
    </xf>
    <xf numFmtId="0" fontId="5" fillId="4" borderId="15" xfId="0" applyFont="1" applyFill="1" applyBorder="1" applyAlignment="1" applyProtection="1">
      <alignment horizontal="left" vertical="center" wrapText="1"/>
    </xf>
    <xf numFmtId="0" fontId="5" fillId="4" borderId="16" xfId="0" applyFont="1" applyFill="1" applyBorder="1" applyAlignment="1" applyProtection="1">
      <alignment horizontal="left" vertical="center" wrapText="1"/>
    </xf>
    <xf numFmtId="0" fontId="0" fillId="7" borderId="2" xfId="0" applyFill="1" applyBorder="1" applyProtection="1"/>
    <xf numFmtId="0" fontId="0" fillId="7" borderId="1" xfId="0" applyFill="1" applyBorder="1" applyAlignment="1" applyProtection="1">
      <alignment horizontal="left" vertical="center" wrapText="1"/>
    </xf>
    <xf numFmtId="0" fontId="0" fillId="7" borderId="12" xfId="0" applyFill="1" applyBorder="1" applyAlignment="1" applyProtection="1">
      <alignment horizontal="left" vertical="center" wrapText="1"/>
    </xf>
    <xf numFmtId="0" fontId="0" fillId="7" borderId="2" xfId="0" applyFill="1" applyBorder="1" applyAlignment="1" applyProtection="1">
      <alignment horizontal="left" vertical="center" wrapText="1"/>
    </xf>
    <xf numFmtId="0" fontId="0" fillId="7" borderId="6" xfId="0" applyFill="1" applyBorder="1" applyProtection="1"/>
    <xf numFmtId="0" fontId="0" fillId="7" borderId="5" xfId="0" applyFill="1" applyBorder="1" applyProtection="1"/>
    <xf numFmtId="6" fontId="9" fillId="4" borderId="14" xfId="0" applyNumberFormat="1" applyFont="1" applyFill="1" applyBorder="1" applyAlignment="1" applyProtection="1">
      <alignment horizontal="right" vertical="center"/>
    </xf>
    <xf numFmtId="0" fontId="33" fillId="6" borderId="5" xfId="0" applyFont="1" applyFill="1" applyBorder="1" applyProtection="1"/>
    <xf numFmtId="6" fontId="9" fillId="4" borderId="15" xfId="0" applyNumberFormat="1" applyFont="1" applyFill="1" applyBorder="1" applyAlignment="1" applyProtection="1">
      <alignment horizontal="right" vertical="center"/>
    </xf>
    <xf numFmtId="6" fontId="9" fillId="4" borderId="16" xfId="0" applyNumberFormat="1" applyFont="1" applyFill="1" applyBorder="1" applyAlignment="1" applyProtection="1">
      <alignment horizontal="right" vertical="center"/>
    </xf>
    <xf numFmtId="6" fontId="9" fillId="4" borderId="14" xfId="0" applyNumberFormat="1" applyFont="1" applyFill="1" applyBorder="1" applyAlignment="1" applyProtection="1">
      <alignment horizontal="right"/>
    </xf>
    <xf numFmtId="6" fontId="9" fillId="4" borderId="16" xfId="0" applyNumberFormat="1" applyFont="1" applyFill="1" applyBorder="1" applyAlignment="1" applyProtection="1">
      <alignment horizontal="right"/>
    </xf>
    <xf numFmtId="0" fontId="0" fillId="7" borderId="14" xfId="0" applyFill="1" applyBorder="1" applyProtection="1"/>
    <xf numFmtId="0" fontId="0" fillId="7" borderId="16" xfId="0" applyFill="1" applyBorder="1" applyProtection="1"/>
    <xf numFmtId="0" fontId="0" fillId="6" borderId="11" xfId="0" applyFill="1" applyBorder="1" applyAlignment="1" applyProtection="1">
      <alignment horizontal="right"/>
    </xf>
    <xf numFmtId="0" fontId="0" fillId="0" borderId="0" xfId="0" applyProtection="1">
      <protection locked="0"/>
    </xf>
    <xf numFmtId="0" fontId="32" fillId="0" borderId="60" xfId="0" applyFont="1" applyBorder="1" applyProtection="1">
      <protection locked="0"/>
    </xf>
    <xf numFmtId="0" fontId="32" fillId="0" borderId="61" xfId="0" applyFont="1" applyBorder="1" applyProtection="1">
      <protection locked="0"/>
    </xf>
    <xf numFmtId="0" fontId="32" fillId="0" borderId="62" xfId="0" applyFont="1" applyBorder="1" applyProtection="1">
      <protection locked="0"/>
    </xf>
    <xf numFmtId="0" fontId="0" fillId="0" borderId="6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0" fillId="0" borderId="67" xfId="0" applyBorder="1" applyProtection="1">
      <protection locked="0"/>
    </xf>
    <xf numFmtId="0" fontId="29" fillId="2" borderId="46" xfId="0" applyFont="1" applyFill="1" applyBorder="1" applyAlignment="1" applyProtection="1">
      <alignment horizontal="left"/>
    </xf>
    <xf numFmtId="0" fontId="29" fillId="2" borderId="48" xfId="0" applyFont="1" applyFill="1" applyBorder="1" applyAlignment="1" applyProtection="1">
      <alignment horizontal="left"/>
    </xf>
    <xf numFmtId="0" fontId="29" fillId="2" borderId="77" xfId="0" applyFont="1" applyFill="1" applyBorder="1" applyAlignment="1" applyProtection="1">
      <alignment horizontal="left"/>
    </xf>
    <xf numFmtId="0" fontId="29" fillId="2" borderId="46" xfId="0" applyFont="1" applyFill="1" applyBorder="1" applyAlignment="1" applyProtection="1">
      <alignment horizontal="left" indent="3"/>
    </xf>
    <xf numFmtId="0" fontId="29" fillId="2" borderId="50" xfId="0" applyFont="1" applyFill="1" applyBorder="1" applyAlignment="1" applyProtection="1">
      <alignment horizontal="left" indent="3"/>
    </xf>
    <xf numFmtId="0" fontId="23" fillId="2" borderId="60" xfId="0" applyFont="1" applyFill="1" applyBorder="1" applyAlignment="1" applyProtection="1">
      <alignment horizontal="center" wrapText="1"/>
    </xf>
    <xf numFmtId="0" fontId="23" fillId="2" borderId="61" xfId="0" applyFont="1" applyFill="1" applyBorder="1" applyAlignment="1" applyProtection="1">
      <alignment horizontal="center" wrapText="1"/>
    </xf>
    <xf numFmtId="0" fontId="23" fillId="2" borderId="62" xfId="0" applyFont="1" applyFill="1" applyBorder="1" applyAlignment="1" applyProtection="1">
      <alignment horizontal="center" wrapText="1"/>
    </xf>
    <xf numFmtId="0" fontId="0" fillId="0" borderId="0" xfId="0" applyNumberFormat="1" applyProtection="1"/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center"/>
    </xf>
    <xf numFmtId="9" fontId="0" fillId="0" borderId="0" xfId="0" applyNumberFormat="1" applyProtection="1"/>
    <xf numFmtId="0" fontId="3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left"/>
    </xf>
    <xf numFmtId="0" fontId="16" fillId="2" borderId="24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/>
    <xf numFmtId="0" fontId="10" fillId="0" borderId="0" xfId="0" applyFont="1" applyAlignment="1" applyProtection="1">
      <alignment vertical="top"/>
    </xf>
    <xf numFmtId="0" fontId="16" fillId="2" borderId="0" xfId="0" applyFont="1" applyFill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top"/>
    </xf>
    <xf numFmtId="6" fontId="0" fillId="0" borderId="22" xfId="0" applyNumberFormat="1" applyFont="1" applyBorder="1" applyAlignment="1" applyProtection="1">
      <alignment horizontal="right" vertical="top"/>
    </xf>
    <xf numFmtId="0" fontId="18" fillId="3" borderId="22" xfId="0" applyFont="1" applyFill="1" applyBorder="1" applyAlignment="1" applyProtection="1">
      <alignment horizontal="center" vertical="top"/>
    </xf>
    <xf numFmtId="6" fontId="0" fillId="3" borderId="22" xfId="0" applyNumberFormat="1" applyFont="1" applyFill="1" applyBorder="1" applyAlignment="1" applyProtection="1">
      <alignment horizontal="right" vertical="top"/>
    </xf>
    <xf numFmtId="6" fontId="0" fillId="3" borderId="41" xfId="0" applyNumberFormat="1" applyFont="1" applyFill="1" applyBorder="1" applyAlignment="1" applyProtection="1">
      <alignment horizontal="right" vertical="top"/>
    </xf>
    <xf numFmtId="6" fontId="0" fillId="0" borderId="41" xfId="0" applyNumberFormat="1" applyFont="1" applyBorder="1" applyAlignment="1" applyProtection="1">
      <alignment horizontal="right" vertical="top"/>
    </xf>
    <xf numFmtId="6" fontId="0" fillId="0" borderId="68" xfId="0" applyNumberFormat="1" applyFont="1" applyBorder="1" applyAlignment="1" applyProtection="1">
      <alignment horizontal="right" vertical="top"/>
    </xf>
    <xf numFmtId="0" fontId="10" fillId="0" borderId="0" xfId="0" quotePrefix="1" applyFont="1" applyAlignment="1" applyProtection="1">
      <alignment vertical="center"/>
    </xf>
    <xf numFmtId="0" fontId="3" fillId="0" borderId="0" xfId="0" quotePrefix="1" applyFont="1" applyAlignment="1" applyProtection="1">
      <alignment vertical="center"/>
    </xf>
    <xf numFmtId="169" fontId="0" fillId="0" borderId="0" xfId="0" quotePrefix="1" applyNumberFormat="1" applyAlignment="1" applyProtection="1">
      <alignment horizontal="right"/>
    </xf>
    <xf numFmtId="0" fontId="16" fillId="9" borderId="0" xfId="0" quotePrefix="1" applyFont="1" applyFill="1" applyBorder="1" applyAlignment="1" applyProtection="1"/>
    <xf numFmtId="0" fontId="16" fillId="9" borderId="0" xfId="0" applyFont="1" applyFill="1" applyBorder="1" applyAlignment="1" applyProtection="1"/>
    <xf numFmtId="0" fontId="23" fillId="9" borderId="0" xfId="0" applyFont="1" applyFill="1" applyBorder="1" applyProtection="1"/>
    <xf numFmtId="166" fontId="24" fillId="9" borderId="24" xfId="0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6" fillId="9" borderId="0" xfId="0" applyFont="1" applyFill="1" applyProtection="1"/>
    <xf numFmtId="0" fontId="23" fillId="9" borderId="0" xfId="0" applyFont="1" applyFill="1" applyProtection="1"/>
    <xf numFmtId="166" fontId="24" fillId="9" borderId="40" xfId="0" applyNumberFormat="1" applyFont="1" applyFill="1" applyBorder="1" applyAlignment="1" applyProtection="1">
      <alignment horizontal="left" vertical="center"/>
    </xf>
    <xf numFmtId="0" fontId="0" fillId="10" borderId="0" xfId="0" applyFill="1" applyProtection="1"/>
    <xf numFmtId="0" fontId="16" fillId="10" borderId="0" xfId="0" applyFont="1" applyFill="1" applyAlignment="1" applyProtection="1">
      <alignment vertical="center"/>
    </xf>
    <xf numFmtId="0" fontId="23" fillId="10" borderId="0" xfId="0" applyFont="1" applyFill="1" applyAlignment="1" applyProtection="1">
      <alignment vertical="center"/>
    </xf>
    <xf numFmtId="0" fontId="23" fillId="10" borderId="0" xfId="0" applyFont="1" applyFill="1" applyProtection="1"/>
    <xf numFmtId="0" fontId="0" fillId="0" borderId="0" xfId="0" applyFont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25" fillId="0" borderId="0" xfId="0" applyFont="1" applyProtection="1"/>
    <xf numFmtId="0" fontId="26" fillId="0" borderId="29" xfId="0" applyFont="1" applyBorder="1" applyProtection="1"/>
    <xf numFmtId="0" fontId="0" fillId="0" borderId="30" xfId="0" applyBorder="1" applyProtection="1"/>
    <xf numFmtId="0" fontId="0" fillId="0" borderId="29" xfId="0" applyBorder="1" applyProtection="1"/>
    <xf numFmtId="0" fontId="23" fillId="10" borderId="27" xfId="0" applyFont="1" applyFill="1" applyBorder="1" applyAlignment="1" applyProtection="1">
      <alignment vertical="center"/>
    </xf>
    <xf numFmtId="0" fontId="23" fillId="10" borderId="28" xfId="0" applyFont="1" applyFill="1" applyBorder="1" applyProtection="1"/>
    <xf numFmtId="0" fontId="0" fillId="0" borderId="29" xfId="0" applyBorder="1" applyAlignment="1" applyProtection="1">
      <alignment vertical="center"/>
    </xf>
    <xf numFmtId="0" fontId="27" fillId="0" borderId="29" xfId="0" applyFont="1" applyBorder="1" applyProtection="1"/>
    <xf numFmtId="165" fontId="27" fillId="0" borderId="0" xfId="2" applyNumberFormat="1" applyFont="1" applyBorder="1" applyProtection="1"/>
    <xf numFmtId="0" fontId="27" fillId="0" borderId="31" xfId="0" applyFont="1" applyBorder="1" applyProtection="1"/>
    <xf numFmtId="0" fontId="0" fillId="0" borderId="32" xfId="0" applyBorder="1" applyProtection="1"/>
    <xf numFmtId="165" fontId="27" fillId="0" borderId="32" xfId="2" applyNumberFormat="1" applyFont="1" applyBorder="1" applyProtection="1"/>
    <xf numFmtId="0" fontId="30" fillId="10" borderId="0" xfId="0" applyFont="1" applyFill="1" applyAlignment="1" applyProtection="1">
      <alignment vertical="center"/>
    </xf>
    <xf numFmtId="0" fontId="27" fillId="0" borderId="0" xfId="0" applyFont="1" applyBorder="1" applyProtection="1"/>
    <xf numFmtId="167" fontId="27" fillId="0" borderId="0" xfId="3" applyNumberFormat="1" applyFont="1" applyBorder="1" applyProtection="1"/>
    <xf numFmtId="167" fontId="27" fillId="0" borderId="30" xfId="0" applyNumberFormat="1" applyFont="1" applyBorder="1" applyProtection="1"/>
    <xf numFmtId="38" fontId="27" fillId="0" borderId="0" xfId="0" applyNumberFormat="1" applyFont="1" applyBorder="1" applyProtection="1"/>
    <xf numFmtId="38" fontId="27" fillId="0" borderId="30" xfId="0" applyNumberFormat="1" applyFont="1" applyBorder="1" applyProtection="1"/>
    <xf numFmtId="0" fontId="27" fillId="0" borderId="32" xfId="0" applyFont="1" applyBorder="1" applyProtection="1"/>
    <xf numFmtId="38" fontId="27" fillId="0" borderId="32" xfId="0" applyNumberFormat="1" applyFont="1" applyBorder="1" applyProtection="1"/>
    <xf numFmtId="38" fontId="27" fillId="0" borderId="33" xfId="0" applyNumberFormat="1" applyFont="1" applyBorder="1" applyProtection="1"/>
    <xf numFmtId="9" fontId="0" fillId="0" borderId="0" xfId="2" applyFont="1" applyProtection="1"/>
    <xf numFmtId="9" fontId="0" fillId="0" borderId="0" xfId="2" applyFont="1" applyAlignment="1" applyProtection="1">
      <alignment horizontal="center"/>
    </xf>
    <xf numFmtId="0" fontId="0" fillId="0" borderId="0" xfId="0" applyFill="1" applyBorder="1" applyProtection="1"/>
    <xf numFmtId="0" fontId="36" fillId="0" borderId="81" xfId="0" applyFont="1" applyBorder="1" applyAlignment="1">
      <alignment vertical="center" wrapText="1"/>
    </xf>
    <xf numFmtId="0" fontId="1" fillId="0" borderId="49" xfId="0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6" fontId="9" fillId="4" borderId="16" xfId="0" applyNumberFormat="1" applyFont="1" applyFill="1" applyBorder="1" applyAlignment="1" applyProtection="1">
      <alignment horizontal="right"/>
      <protection locked="0"/>
    </xf>
    <xf numFmtId="6" fontId="19" fillId="0" borderId="6" xfId="0" applyNumberFormat="1" applyFont="1" applyBorder="1" applyAlignment="1" applyProtection="1">
      <alignment horizontal="right" vertical="center"/>
    </xf>
    <xf numFmtId="0" fontId="23" fillId="9" borderId="0" xfId="0" applyFont="1" applyFill="1" applyAlignment="1">
      <alignment horizontal="center"/>
    </xf>
    <xf numFmtId="6" fontId="19" fillId="0" borderId="11" xfId="0" applyNumberFormat="1" applyFont="1" applyBorder="1" applyAlignment="1" applyProtection="1">
      <alignment horizontal="right" vertical="center"/>
    </xf>
    <xf numFmtId="0" fontId="2" fillId="2" borderId="82" xfId="0" applyFont="1" applyFill="1" applyBorder="1" applyAlignment="1" applyProtection="1">
      <alignment horizontal="center" vertical="center"/>
    </xf>
    <xf numFmtId="9" fontId="0" fillId="0" borderId="0" xfId="2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 applyProtection="1">
      <alignment horizontal="center" wrapText="1"/>
    </xf>
    <xf numFmtId="165" fontId="0" fillId="0" borderId="0" xfId="0" applyNumberFormat="1" applyProtection="1"/>
    <xf numFmtId="0" fontId="8" fillId="9" borderId="24" xfId="0" applyFont="1" applyFill="1" applyBorder="1" applyAlignment="1" applyProtection="1">
      <alignment horizontal="center" vertical="center"/>
    </xf>
    <xf numFmtId="9" fontId="16" fillId="9" borderId="0" xfId="0" applyNumberFormat="1" applyFont="1" applyFill="1" applyAlignment="1" applyProtection="1">
      <alignment horizontal="center" vertical="center"/>
    </xf>
    <xf numFmtId="9" fontId="16" fillId="11" borderId="83" xfId="0" applyNumberFormat="1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/>
    </xf>
    <xf numFmtId="9" fontId="16" fillId="9" borderId="0" xfId="0" applyNumberFormat="1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 applyProtection="1">
      <alignment vertical="center"/>
    </xf>
    <xf numFmtId="0" fontId="23" fillId="10" borderId="0" xfId="0" applyFont="1" applyFill="1" applyBorder="1" applyAlignment="1" applyProtection="1">
      <alignment vertical="center"/>
    </xf>
    <xf numFmtId="0" fontId="23" fillId="10" borderId="0" xfId="0" applyFont="1" applyFill="1" applyBorder="1" applyProtection="1"/>
    <xf numFmtId="0" fontId="16" fillId="9" borderId="0" xfId="0" applyNumberFormat="1" applyFont="1" applyFill="1" applyBorder="1" applyAlignment="1" applyProtection="1">
      <alignment horizontal="center" vertical="center"/>
    </xf>
    <xf numFmtId="0" fontId="23" fillId="9" borderId="0" xfId="0" applyFont="1" applyFill="1" applyAlignment="1">
      <alignment horizontal="center"/>
    </xf>
    <xf numFmtId="0" fontId="3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8" fillId="8" borderId="23" xfId="0" applyFont="1" applyFill="1" applyBorder="1" applyAlignment="1" applyProtection="1">
      <alignment horizontal="left" vertical="top" inden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170" fontId="16" fillId="2" borderId="35" xfId="0" applyNumberFormat="1" applyFont="1" applyFill="1" applyBorder="1" applyAlignment="1" applyProtection="1">
      <alignment horizontal="center" vertical="center"/>
    </xf>
    <xf numFmtId="0" fontId="34" fillId="0" borderId="23" xfId="0" applyFont="1" applyBorder="1" applyAlignment="1" applyProtection="1">
      <alignment horizontal="left" vertical="top" wrapText="1"/>
      <protection locked="0"/>
    </xf>
    <xf numFmtId="0" fontId="34" fillId="3" borderId="23" xfId="0" applyFont="1" applyFill="1" applyBorder="1" applyAlignment="1" applyProtection="1">
      <alignment horizontal="left" vertical="top" wrapText="1"/>
      <protection locked="0"/>
    </xf>
    <xf numFmtId="6" fontId="38" fillId="0" borderId="20" xfId="0" applyNumberFormat="1" applyFont="1" applyBorder="1" applyAlignment="1" applyProtection="1">
      <alignment horizontal="right" vertical="top"/>
      <protection locked="0"/>
    </xf>
    <xf numFmtId="6" fontId="38" fillId="3" borderId="20" xfId="0" applyNumberFormat="1" applyFont="1" applyFill="1" applyBorder="1" applyAlignment="1" applyProtection="1">
      <alignment horizontal="right" vertical="top"/>
      <protection locked="0"/>
    </xf>
    <xf numFmtId="9" fontId="38" fillId="0" borderId="20" xfId="0" applyNumberFormat="1" applyFont="1" applyBorder="1" applyAlignment="1" applyProtection="1">
      <alignment horizontal="center" vertical="top"/>
      <protection locked="0"/>
    </xf>
    <xf numFmtId="9" fontId="38" fillId="3" borderId="20" xfId="0" applyNumberFormat="1" applyFont="1" applyFill="1" applyBorder="1" applyAlignment="1" applyProtection="1">
      <alignment horizontal="center" vertical="top"/>
      <protection locked="0"/>
    </xf>
    <xf numFmtId="9" fontId="38" fillId="3" borderId="20" xfId="0" applyNumberFormat="1" applyFont="1" applyFill="1" applyBorder="1" applyAlignment="1" applyProtection="1">
      <alignment horizontal="center" vertical="top"/>
    </xf>
    <xf numFmtId="6" fontId="38" fillId="0" borderId="5" xfId="0" applyNumberFormat="1" applyFont="1" applyBorder="1" applyAlignment="1" applyProtection="1">
      <alignment horizontal="right" vertical="center"/>
      <protection locked="0"/>
    </xf>
    <xf numFmtId="6" fontId="38" fillId="0" borderId="6" xfId="0" applyNumberFormat="1" applyFont="1" applyBorder="1" applyAlignment="1" applyProtection="1">
      <alignment horizontal="right" vertical="center"/>
      <protection locked="0"/>
    </xf>
    <xf numFmtId="38" fontId="38" fillId="0" borderId="7" xfId="0" applyNumberFormat="1" applyFont="1" applyBorder="1" applyAlignment="1" applyProtection="1">
      <alignment horizontal="center" vertical="center"/>
      <protection locked="0"/>
    </xf>
    <xf numFmtId="38" fontId="38" fillId="0" borderId="6" xfId="0" applyNumberFormat="1" applyFont="1" applyBorder="1" applyAlignment="1" applyProtection="1">
      <alignment horizontal="center" vertical="center"/>
      <protection locked="0"/>
    </xf>
    <xf numFmtId="0" fontId="38" fillId="6" borderId="5" xfId="0" applyFont="1" applyFill="1" applyBorder="1" applyProtection="1"/>
    <xf numFmtId="0" fontId="38" fillId="0" borderId="9" xfId="0" applyFont="1" applyBorder="1" applyAlignment="1" applyProtection="1">
      <alignment horizontal="center" vertical="center"/>
      <protection locked="0"/>
    </xf>
    <xf numFmtId="6" fontId="38" fillId="0" borderId="0" xfId="0" applyNumberFormat="1" applyFont="1" applyBorder="1" applyAlignment="1" applyProtection="1">
      <alignment horizontal="right"/>
      <protection locked="0"/>
    </xf>
    <xf numFmtId="6" fontId="38" fillId="0" borderId="76" xfId="0" applyNumberFormat="1" applyFont="1" applyBorder="1" applyAlignment="1" applyProtection="1">
      <alignment horizontal="right"/>
      <protection locked="0"/>
    </xf>
    <xf numFmtId="0" fontId="30" fillId="10" borderId="26" xfId="0" applyFont="1" applyFill="1" applyBorder="1" applyAlignment="1" applyProtection="1">
      <alignment vertical="center"/>
    </xf>
    <xf numFmtId="0" fontId="30" fillId="10" borderId="27" xfId="0" applyFont="1" applyFill="1" applyBorder="1" applyAlignment="1" applyProtection="1">
      <alignment vertical="center"/>
    </xf>
    <xf numFmtId="0" fontId="16" fillId="10" borderId="26" xfId="0" applyFont="1" applyFill="1" applyBorder="1" applyAlignment="1" applyProtection="1">
      <alignment vertical="center"/>
    </xf>
    <xf numFmtId="0" fontId="37" fillId="0" borderId="0" xfId="0" applyFont="1" applyAlignment="1" applyProtection="1">
      <alignment horizontal="right"/>
    </xf>
    <xf numFmtId="0" fontId="23" fillId="9" borderId="0" xfId="0" applyFont="1" applyFill="1" applyAlignment="1" applyProtection="1">
      <alignment horizontal="center" wrapText="1"/>
    </xf>
    <xf numFmtId="0" fontId="1" fillId="13" borderId="0" xfId="0" applyFont="1" applyFill="1" applyProtection="1"/>
    <xf numFmtId="0" fontId="0" fillId="13" borderId="0" xfId="0" applyFill="1" applyProtection="1"/>
    <xf numFmtId="0" fontId="9" fillId="0" borderId="0" xfId="0" applyFont="1" applyAlignment="1" applyProtection="1">
      <alignment horizontal="center"/>
    </xf>
    <xf numFmtId="6" fontId="0" fillId="0" borderId="0" xfId="1" applyNumberFormat="1" applyFont="1" applyFill="1" applyProtection="1"/>
    <xf numFmtId="165" fontId="0" fillId="0" borderId="0" xfId="2" applyNumberFormat="1" applyFont="1" applyFill="1" applyAlignment="1" applyProtection="1">
      <alignment horizontal="right"/>
    </xf>
    <xf numFmtId="165" fontId="0" fillId="0" borderId="0" xfId="0" applyNumberFormat="1" applyFill="1" applyAlignment="1" applyProtection="1">
      <alignment horizontal="right"/>
    </xf>
    <xf numFmtId="0" fontId="23" fillId="9" borderId="0" xfId="0" applyFont="1" applyFill="1" applyAlignment="1" applyProtection="1">
      <alignment horizontal="center"/>
    </xf>
    <xf numFmtId="0" fontId="0" fillId="0" borderId="0" xfId="0" applyFill="1" applyProtection="1"/>
    <xf numFmtId="6" fontId="0" fillId="0" borderId="0" xfId="0" applyNumberFormat="1" applyFill="1" applyProtection="1"/>
    <xf numFmtId="0" fontId="0" fillId="0" borderId="1" xfId="0" applyFill="1" applyBorder="1" applyProtection="1"/>
    <xf numFmtId="6" fontId="0" fillId="0" borderId="12" xfId="0" applyNumberFormat="1" applyFill="1" applyBorder="1" applyProtection="1"/>
    <xf numFmtId="6" fontId="0" fillId="0" borderId="2" xfId="0" applyNumberFormat="1" applyFill="1" applyBorder="1" applyProtection="1"/>
    <xf numFmtId="0" fontId="0" fillId="0" borderId="7" xfId="0" applyBorder="1" applyProtection="1"/>
    <xf numFmtId="8" fontId="0" fillId="0" borderId="13" xfId="0" applyNumberFormat="1" applyBorder="1" applyProtection="1"/>
    <xf numFmtId="8" fontId="0" fillId="0" borderId="8" xfId="0" applyNumberFormat="1" applyBorder="1" applyProtection="1"/>
    <xf numFmtId="0" fontId="0" fillId="0" borderId="0" xfId="0" applyFill="1" applyAlignment="1" applyProtection="1">
      <alignment horizontal="center"/>
    </xf>
    <xf numFmtId="164" fontId="0" fillId="0" borderId="0" xfId="1" applyNumberFormat="1" applyFont="1" applyFill="1" applyProtection="1"/>
    <xf numFmtId="38" fontId="0" fillId="0" borderId="0" xfId="0" applyNumberFormat="1" applyFill="1" applyProtection="1"/>
    <xf numFmtId="0" fontId="39" fillId="0" borderId="14" xfId="0" applyFont="1" applyBorder="1"/>
    <xf numFmtId="165" fontId="39" fillId="0" borderId="16" xfId="2" applyNumberFormat="1" applyFont="1" applyBorder="1" applyAlignment="1">
      <alignment horizontal="right"/>
    </xf>
    <xf numFmtId="9" fontId="38" fillId="0" borderId="20" xfId="2" applyNumberFormat="1" applyFont="1" applyBorder="1" applyAlignment="1" applyProtection="1">
      <alignment horizontal="center" vertical="top"/>
      <protection locked="0"/>
    </xf>
    <xf numFmtId="9" fontId="38" fillId="3" borderId="20" xfId="2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indent="1"/>
    </xf>
    <xf numFmtId="0" fontId="23" fillId="9" borderId="0" xfId="0" applyFont="1" applyFill="1" applyAlignment="1" applyProtection="1">
      <alignment horizontal="left"/>
    </xf>
    <xf numFmtId="0" fontId="16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4" fillId="0" borderId="23" xfId="0" applyFont="1" applyBorder="1" applyAlignment="1" applyProtection="1">
      <alignment horizontal="center" vertical="top"/>
      <protection locked="0"/>
    </xf>
    <xf numFmtId="0" fontId="34" fillId="3" borderId="23" xfId="0" applyFont="1" applyFill="1" applyBorder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23" fillId="9" borderId="0" xfId="0" applyFont="1" applyFill="1" applyAlignment="1">
      <alignment horizontal="center"/>
    </xf>
    <xf numFmtId="0" fontId="31" fillId="0" borderId="0" xfId="0" applyFont="1" applyAlignment="1" applyProtection="1">
      <alignment horizontal="left"/>
    </xf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/>
    <xf numFmtId="6" fontId="0" fillId="0" borderId="13" xfId="0" applyNumberFormat="1" applyBorder="1" applyProtection="1"/>
    <xf numFmtId="6" fontId="0" fillId="0" borderId="0" xfId="0" applyNumberFormat="1" applyFont="1" applyBorder="1" applyAlignment="1" applyProtection="1">
      <alignment horizontal="right" vertical="top"/>
    </xf>
    <xf numFmtId="6" fontId="0" fillId="3" borderId="0" xfId="0" applyNumberFormat="1" applyFont="1" applyFill="1" applyBorder="1" applyAlignment="1" applyProtection="1">
      <alignment horizontal="right" vertical="top"/>
    </xf>
    <xf numFmtId="6" fontId="0" fillId="0" borderId="0" xfId="0" applyNumberFormat="1" applyBorder="1" applyProtection="1"/>
    <xf numFmtId="8" fontId="0" fillId="0" borderId="0" xfId="0" applyNumberFormat="1" applyProtection="1"/>
    <xf numFmtId="0" fontId="40" fillId="0" borderId="0" xfId="0" applyFont="1" applyAlignment="1" applyProtection="1">
      <alignment horizontal="center"/>
    </xf>
    <xf numFmtId="165" fontId="27" fillId="0" borderId="0" xfId="2" applyNumberFormat="1" applyFont="1" applyBorder="1" applyAlignment="1" applyProtection="1">
      <alignment horizontal="center"/>
    </xf>
    <xf numFmtId="165" fontId="27" fillId="0" borderId="30" xfId="2" applyNumberFormat="1" applyFont="1" applyBorder="1" applyAlignment="1" applyProtection="1">
      <alignment horizontal="center"/>
    </xf>
    <xf numFmtId="165" fontId="27" fillId="0" borderId="32" xfId="2" applyNumberFormat="1" applyFont="1" applyBorder="1" applyAlignment="1" applyProtection="1">
      <alignment horizontal="center"/>
    </xf>
    <xf numFmtId="165" fontId="27" fillId="0" borderId="33" xfId="2" applyNumberFormat="1" applyFont="1" applyBorder="1" applyAlignment="1" applyProtection="1">
      <alignment horizontal="center"/>
    </xf>
    <xf numFmtId="0" fontId="23" fillId="0" borderId="0" xfId="0" applyFont="1" applyProtection="1"/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0" xfId="0" applyBorder="1"/>
    <xf numFmtId="0" fontId="0" fillId="0" borderId="95" xfId="0" applyBorder="1"/>
    <xf numFmtId="0" fontId="41" fillId="0" borderId="94" xfId="0" applyFont="1" applyBorder="1" applyAlignment="1">
      <alignment horizontal="left" indent="1"/>
    </xf>
    <xf numFmtId="0" fontId="42" fillId="0" borderId="94" xfId="0" applyFont="1" applyBorder="1" applyAlignment="1">
      <alignment horizontal="left" indent="1"/>
    </xf>
    <xf numFmtId="0" fontId="43" fillId="0" borderId="94" xfId="0" applyFont="1" applyBorder="1"/>
    <xf numFmtId="0" fontId="43" fillId="0" borderId="0" xfId="0" applyFont="1" applyBorder="1"/>
    <xf numFmtId="0" fontId="43" fillId="0" borderId="95" xfId="0" applyFont="1" applyBorder="1"/>
    <xf numFmtId="0" fontId="43" fillId="0" borderId="0" xfId="0" applyFont="1"/>
    <xf numFmtId="0" fontId="42" fillId="0" borderId="94" xfId="0" applyFont="1" applyBorder="1"/>
    <xf numFmtId="0" fontId="42" fillId="0" borderId="0" xfId="0" applyFont="1" applyBorder="1"/>
    <xf numFmtId="0" fontId="42" fillId="0" borderId="95" xfId="0" applyFont="1" applyBorder="1"/>
    <xf numFmtId="0" fontId="42" fillId="0" borderId="0" xfId="0" applyFont="1"/>
    <xf numFmtId="0" fontId="45" fillId="0" borderId="0" xfId="0" applyFont="1" applyBorder="1"/>
    <xf numFmtId="0" fontId="42" fillId="0" borderId="13" xfId="0" applyFont="1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15" fillId="5" borderId="0" xfId="0" applyFont="1" applyFill="1" applyAlignment="1" applyProtection="1">
      <alignment horizontal="left" vertical="center" wrapText="1" indent="1"/>
    </xf>
    <xf numFmtId="0" fontId="0" fillId="0" borderId="15" xfId="0" applyBorder="1" applyAlignment="1" applyProtection="1">
      <alignment horizontal="left" vertical="center" wrapText="1"/>
    </xf>
    <xf numFmtId="9" fontId="49" fillId="5" borderId="0" xfId="2" applyNumberFormat="1" applyFont="1" applyFill="1" applyAlignment="1" applyProtection="1">
      <alignment horizontal="center"/>
    </xf>
    <xf numFmtId="0" fontId="49" fillId="4" borderId="14" xfId="0" applyFont="1" applyFill="1" applyBorder="1" applyAlignment="1" applyProtection="1">
      <alignment horizontal="left" vertical="center" wrapText="1"/>
    </xf>
    <xf numFmtId="0" fontId="49" fillId="4" borderId="15" xfId="0" applyFont="1" applyFill="1" applyBorder="1" applyAlignment="1" applyProtection="1">
      <alignment horizontal="left" vertical="center" wrapText="1"/>
    </xf>
    <xf numFmtId="0" fontId="49" fillId="4" borderId="16" xfId="0" applyFont="1" applyFill="1" applyBorder="1" applyAlignment="1" applyProtection="1">
      <alignment horizontal="left" vertical="center" wrapText="1"/>
    </xf>
    <xf numFmtId="9" fontId="49" fillId="4" borderId="14" xfId="2" applyNumberFormat="1" applyFont="1" applyFill="1" applyBorder="1" applyAlignment="1" applyProtection="1">
      <alignment horizontal="center"/>
    </xf>
    <xf numFmtId="9" fontId="49" fillId="4" borderId="15" xfId="2" applyNumberFormat="1" applyFont="1" applyFill="1" applyBorder="1" applyAlignment="1" applyProtection="1">
      <alignment horizontal="center"/>
    </xf>
    <xf numFmtId="9" fontId="49" fillId="4" borderId="16" xfId="2" applyNumberFormat="1" applyFont="1" applyFill="1" applyBorder="1" applyAlignment="1" applyProtection="1">
      <alignment horizontal="center"/>
    </xf>
    <xf numFmtId="0" fontId="8" fillId="11" borderId="100" xfId="0" applyFont="1" applyFill="1" applyBorder="1" applyAlignment="1" applyProtection="1">
      <alignment horizontal="center" vertical="center"/>
    </xf>
    <xf numFmtId="0" fontId="8" fillId="11" borderId="99" xfId="0" applyFont="1" applyFill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33" xfId="0" applyBorder="1" applyProtection="1"/>
    <xf numFmtId="0" fontId="16" fillId="2" borderId="2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14" borderId="0" xfId="0" applyFill="1"/>
    <xf numFmtId="0" fontId="10" fillId="0" borderId="0" xfId="0" applyFont="1" applyAlignment="1" applyProtection="1">
      <alignment horizontal="left"/>
    </xf>
    <xf numFmtId="38" fontId="0" fillId="0" borderId="0" xfId="0" applyNumberFormat="1"/>
    <xf numFmtId="0" fontId="31" fillId="0" borderId="0" xfId="0" applyFont="1" applyProtection="1"/>
    <xf numFmtId="0" fontId="12" fillId="0" borderId="0" xfId="0" applyFont="1" applyProtection="1"/>
    <xf numFmtId="0" fontId="10" fillId="0" borderId="0" xfId="0" applyFont="1" applyProtection="1"/>
    <xf numFmtId="0" fontId="34" fillId="0" borderId="23" xfId="0" applyFont="1" applyBorder="1" applyAlignment="1" applyProtection="1">
      <alignment horizontal="left" vertical="top"/>
    </xf>
    <xf numFmtId="0" fontId="34" fillId="3" borderId="23" xfId="0" applyFont="1" applyFill="1" applyBorder="1" applyAlignment="1" applyProtection="1">
      <alignment horizontal="left" vertical="top"/>
    </xf>
    <xf numFmtId="0" fontId="8" fillId="12" borderId="69" xfId="1" applyNumberFormat="1" applyFont="1" applyFill="1" applyBorder="1" applyAlignment="1" applyProtection="1">
      <alignment horizontal="center" vertical="center" wrapText="1"/>
    </xf>
    <xf numFmtId="38" fontId="52" fillId="0" borderId="23" xfId="1" applyNumberFormat="1" applyFont="1" applyBorder="1" applyAlignment="1" applyProtection="1">
      <alignment horizontal="right" vertical="center"/>
      <protection locked="0"/>
    </xf>
    <xf numFmtId="164" fontId="34" fillId="0" borderId="23" xfId="1" applyNumberFormat="1" applyFont="1" applyBorder="1" applyAlignment="1" applyProtection="1">
      <alignment horizontal="right"/>
    </xf>
    <xf numFmtId="9" fontId="34" fillId="0" borderId="23" xfId="2" applyFont="1" applyBorder="1" applyAlignment="1" applyProtection="1">
      <alignment horizontal="right" vertical="top"/>
    </xf>
    <xf numFmtId="38" fontId="34" fillId="0" borderId="23" xfId="1" applyNumberFormat="1" applyFont="1" applyBorder="1" applyAlignment="1" applyProtection="1">
      <alignment horizontal="right"/>
    </xf>
    <xf numFmtId="38" fontId="52" fillId="3" borderId="23" xfId="1" applyNumberFormat="1" applyFont="1" applyFill="1" applyBorder="1" applyAlignment="1" applyProtection="1">
      <alignment horizontal="right" vertical="center"/>
      <protection locked="0"/>
    </xf>
    <xf numFmtId="164" fontId="34" fillId="3" borderId="23" xfId="1" applyNumberFormat="1" applyFont="1" applyFill="1" applyBorder="1" applyAlignment="1" applyProtection="1">
      <alignment horizontal="right"/>
    </xf>
    <xf numFmtId="9" fontId="34" fillId="3" borderId="23" xfId="2" applyFont="1" applyFill="1" applyBorder="1" applyAlignment="1" applyProtection="1">
      <alignment horizontal="right" vertical="top"/>
    </xf>
    <xf numFmtId="38" fontId="34" fillId="3" borderId="23" xfId="1" applyNumberFormat="1" applyFont="1" applyFill="1" applyBorder="1" applyAlignment="1" applyProtection="1">
      <alignment horizontal="right"/>
    </xf>
    <xf numFmtId="164" fontId="8" fillId="12" borderId="101" xfId="1" applyNumberFormat="1" applyFont="1" applyFill="1" applyBorder="1" applyAlignment="1" applyProtection="1">
      <alignment horizontal="center" vertical="center" wrapText="1"/>
    </xf>
    <xf numFmtId="164" fontId="8" fillId="12" borderId="101" xfId="1" applyNumberFormat="1" applyFont="1" applyFill="1" applyBorder="1" applyAlignment="1" applyProtection="1">
      <alignment horizontal="right" vertical="center"/>
    </xf>
    <xf numFmtId="9" fontId="8" fillId="12" borderId="101" xfId="2" applyFont="1" applyFill="1" applyBorder="1" applyAlignment="1" applyProtection="1">
      <alignment horizontal="right" vertical="center"/>
    </xf>
    <xf numFmtId="38" fontId="8" fillId="12" borderId="101" xfId="2" applyNumberFormat="1" applyFont="1" applyFill="1" applyBorder="1" applyAlignment="1" applyProtection="1">
      <alignment horizontal="right" vertical="center"/>
    </xf>
    <xf numFmtId="9" fontId="8" fillId="12" borderId="101" xfId="1" applyNumberFormat="1" applyFont="1" applyFill="1" applyBorder="1" applyAlignment="1" applyProtection="1">
      <alignment horizontal="right" vertical="center"/>
    </xf>
    <xf numFmtId="164" fontId="8" fillId="12" borderId="101" xfId="2" applyNumberFormat="1" applyFont="1" applyFill="1" applyBorder="1" applyAlignment="1" applyProtection="1">
      <alignment horizontal="right" vertical="center"/>
    </xf>
    <xf numFmtId="9" fontId="8" fillId="12" borderId="101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/>
    </xf>
    <xf numFmtId="6" fontId="0" fillId="0" borderId="0" xfId="1" applyNumberFormat="1" applyFont="1" applyFill="1" applyAlignment="1" applyProtection="1">
      <alignment horizontal="right"/>
    </xf>
    <xf numFmtId="165" fontId="0" fillId="0" borderId="0" xfId="0" applyNumberFormat="1" applyFill="1" applyProtection="1"/>
    <xf numFmtId="9" fontId="0" fillId="0" borderId="0" xfId="0" applyNumberFormat="1" applyFill="1" applyProtection="1"/>
    <xf numFmtId="9" fontId="0" fillId="0" borderId="0" xfId="0" applyNumberFormat="1" applyFill="1"/>
    <xf numFmtId="0" fontId="34" fillId="3" borderId="23" xfId="0" applyFont="1" applyFill="1" applyBorder="1" applyAlignment="1" applyProtection="1">
      <alignment horizontal="left" vertical="top"/>
      <protection locked="0"/>
    </xf>
    <xf numFmtId="0" fontId="34" fillId="0" borderId="23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/>
    </xf>
    <xf numFmtId="0" fontId="34" fillId="3" borderId="23" xfId="0" applyFont="1" applyFill="1" applyBorder="1" applyAlignment="1" applyProtection="1">
      <alignment horizontal="left" vertical="top"/>
      <protection locked="0"/>
    </xf>
    <xf numFmtId="0" fontId="34" fillId="0" borderId="23" xfId="0" applyFont="1" applyBorder="1" applyAlignment="1" applyProtection="1">
      <alignment horizontal="left" vertical="top"/>
      <protection locked="0"/>
    </xf>
    <xf numFmtId="38" fontId="38" fillId="0" borderId="10" xfId="0" applyNumberFormat="1" applyFont="1" applyBorder="1" applyAlignment="1" applyProtection="1">
      <alignment horizontal="center" vertical="center"/>
      <protection locked="0"/>
    </xf>
    <xf numFmtId="9" fontId="38" fillId="0" borderId="20" xfId="0" applyNumberFormat="1" applyFont="1" applyBorder="1" applyAlignment="1" applyProtection="1">
      <alignment horizontal="center" vertical="top"/>
    </xf>
    <xf numFmtId="6" fontId="33" fillId="0" borderId="20" xfId="0" applyNumberFormat="1" applyFont="1" applyBorder="1" applyAlignment="1" applyProtection="1">
      <alignment horizontal="center" vertical="top"/>
    </xf>
    <xf numFmtId="9" fontId="0" fillId="0" borderId="20" xfId="0" applyNumberFormat="1" applyFont="1" applyBorder="1" applyAlignment="1" applyProtection="1">
      <alignment horizontal="center" vertical="top"/>
    </xf>
    <xf numFmtId="6" fontId="33" fillId="3" borderId="20" xfId="0" applyNumberFormat="1" applyFont="1" applyFill="1" applyBorder="1" applyAlignment="1" applyProtection="1">
      <alignment horizontal="center" vertical="top"/>
    </xf>
    <xf numFmtId="9" fontId="0" fillId="3" borderId="20" xfId="0" applyNumberFormat="1" applyFont="1" applyFill="1" applyBorder="1" applyAlignment="1" applyProtection="1">
      <alignment horizontal="center" vertical="top"/>
    </xf>
    <xf numFmtId="38" fontId="19" fillId="0" borderId="6" xfId="0" applyNumberFormat="1" applyFont="1" applyBorder="1" applyAlignment="1" applyProtection="1">
      <alignment horizontal="center" vertical="center"/>
    </xf>
    <xf numFmtId="38" fontId="19" fillId="0" borderId="10" xfId="0" applyNumberFormat="1" applyFont="1" applyBorder="1" applyAlignment="1" applyProtection="1">
      <alignment horizontal="center" vertical="center"/>
    </xf>
    <xf numFmtId="6" fontId="19" fillId="0" borderId="5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left"/>
    </xf>
    <xf numFmtId="0" fontId="0" fillId="0" borderId="0" xfId="0" applyAlignment="1" applyProtection="1"/>
    <xf numFmtId="0" fontId="3" fillId="0" borderId="0" xfId="0" applyFont="1" applyAlignment="1" applyProtection="1">
      <alignment horizontal="left"/>
    </xf>
    <xf numFmtId="0" fontId="35" fillId="10" borderId="80" xfId="0" applyFont="1" applyFill="1" applyBorder="1" applyAlignment="1">
      <alignment horizontal="center" vertical="center"/>
    </xf>
    <xf numFmtId="0" fontId="35" fillId="10" borderId="8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9" fontId="5" fillId="0" borderId="34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vertical="top" wrapText="1"/>
    </xf>
    <xf numFmtId="14" fontId="1" fillId="0" borderId="49" xfId="0" applyNumberFormat="1" applyFont="1" applyBorder="1" applyAlignment="1" applyProtection="1">
      <alignment horizontal="left"/>
      <protection locked="0"/>
    </xf>
    <xf numFmtId="0" fontId="34" fillId="3" borderId="23" xfId="0" applyFont="1" applyFill="1" applyBorder="1" applyAlignment="1" applyProtection="1">
      <alignment horizontal="left" vertical="top"/>
      <protection locked="0"/>
    </xf>
    <xf numFmtId="9" fontId="46" fillId="0" borderId="0" xfId="2" applyFont="1" applyBorder="1" applyAlignment="1"/>
    <xf numFmtId="0" fontId="34" fillId="0" borderId="23" xfId="0" applyFont="1" applyFill="1" applyBorder="1" applyAlignment="1" applyProtection="1">
      <alignment horizontal="left" vertical="top"/>
      <protection locked="0"/>
    </xf>
    <xf numFmtId="0" fontId="34" fillId="0" borderId="23" xfId="0" applyFont="1" applyFill="1" applyBorder="1" applyAlignment="1" applyProtection="1">
      <alignment vertical="top"/>
      <protection locked="0"/>
    </xf>
    <xf numFmtId="0" fontId="34" fillId="0" borderId="23" xfId="0" applyFont="1" applyFill="1" applyBorder="1" applyAlignment="1" applyProtection="1">
      <alignment horizontal="center" vertical="top"/>
      <protection locked="0"/>
    </xf>
    <xf numFmtId="9" fontId="38" fillId="16" borderId="20" xfId="2" applyNumberFormat="1" applyFont="1" applyFill="1" applyBorder="1" applyAlignment="1" applyProtection="1">
      <alignment horizontal="center" vertical="top"/>
      <protection locked="0"/>
    </xf>
    <xf numFmtId="6" fontId="38" fillId="16" borderId="20" xfId="0" applyNumberFormat="1" applyFont="1" applyFill="1" applyBorder="1" applyAlignment="1" applyProtection="1">
      <alignment horizontal="right" vertical="top"/>
      <protection locked="0"/>
    </xf>
    <xf numFmtId="6" fontId="0" fillId="16" borderId="20" xfId="0" applyNumberFormat="1" applyFont="1" applyFill="1" applyBorder="1" applyAlignment="1" applyProtection="1">
      <alignment horizontal="right" vertical="top"/>
    </xf>
    <xf numFmtId="9" fontId="38" fillId="16" borderId="20" xfId="0" applyNumberFormat="1" applyFont="1" applyFill="1" applyBorder="1" applyAlignment="1" applyProtection="1">
      <alignment horizontal="center" vertical="top"/>
    </xf>
    <xf numFmtId="0" fontId="18" fillId="8" borderId="23" xfId="0" applyFont="1" applyFill="1" applyBorder="1" applyAlignment="1" applyProtection="1">
      <alignment horizontal="left" vertical="top" indent="1"/>
    </xf>
    <xf numFmtId="0" fontId="18" fillId="3" borderId="23" xfId="0" applyFont="1" applyFill="1" applyBorder="1" applyAlignment="1" applyProtection="1">
      <alignment vertical="top"/>
    </xf>
    <xf numFmtId="0" fontId="18" fillId="3" borderId="23" xfId="0" applyFont="1" applyFill="1" applyBorder="1" applyAlignment="1" applyProtection="1">
      <alignment horizontal="center" vertical="top"/>
    </xf>
    <xf numFmtId="0" fontId="9" fillId="0" borderId="105" xfId="0" applyFont="1" applyBorder="1" applyAlignment="1">
      <alignment horizontal="center" wrapText="1"/>
    </xf>
    <xf numFmtId="0" fontId="0" fillId="0" borderId="105" xfId="0" applyBorder="1"/>
    <xf numFmtId="38" fontId="0" fillId="0" borderId="105" xfId="0" applyNumberFormat="1" applyBorder="1"/>
    <xf numFmtId="9" fontId="0" fillId="0" borderId="105" xfId="0" applyNumberFormat="1" applyBorder="1"/>
    <xf numFmtId="0" fontId="34" fillId="3" borderId="23" xfId="0" applyFont="1" applyFill="1" applyBorder="1" applyAlignment="1" applyProtection="1">
      <alignment horizontal="left" vertical="top"/>
      <protection locked="0"/>
    </xf>
    <xf numFmtId="0" fontId="34" fillId="0" borderId="23" xfId="0" applyFont="1" applyBorder="1" applyAlignment="1" applyProtection="1">
      <alignment horizontal="left" vertical="top"/>
      <protection locked="0"/>
    </xf>
    <xf numFmtId="0" fontId="18" fillId="0" borderId="23" xfId="0" applyFont="1" applyBorder="1" applyAlignment="1" applyProtection="1">
      <alignment horizontal="left" vertical="top" indent="1"/>
      <protection locked="0"/>
    </xf>
    <xf numFmtId="0" fontId="18" fillId="8" borderId="23" xfId="0" applyFont="1" applyFill="1" applyBorder="1" applyAlignment="1" applyProtection="1">
      <alignment horizontal="left" vertical="top" indent="1"/>
    </xf>
    <xf numFmtId="0" fontId="18" fillId="3" borderId="23" xfId="0" applyFont="1" applyFill="1" applyBorder="1" applyAlignment="1" applyProtection="1">
      <alignment horizontal="left" vertical="top" indent="1"/>
      <protection locked="0"/>
    </xf>
    <xf numFmtId="164" fontId="8" fillId="12" borderId="37" xfId="1" applyNumberFormat="1" applyFont="1" applyFill="1" applyBorder="1" applyAlignment="1" applyProtection="1">
      <alignment horizontal="center" vertical="center" wrapText="1"/>
    </xf>
    <xf numFmtId="164" fontId="8" fillId="12" borderId="106" xfId="1" applyNumberFormat="1" applyFont="1" applyFill="1" applyBorder="1" applyAlignment="1" applyProtection="1">
      <alignment horizontal="center" vertical="center" wrapText="1"/>
    </xf>
    <xf numFmtId="0" fontId="34" fillId="0" borderId="20" xfId="0" applyFont="1" applyBorder="1" applyAlignment="1" applyProtection="1">
      <alignment horizontal="left" vertical="top"/>
      <protection locked="0"/>
    </xf>
    <xf numFmtId="0" fontId="34" fillId="3" borderId="20" xfId="0" applyFont="1" applyFill="1" applyBorder="1" applyAlignment="1" applyProtection="1">
      <alignment horizontal="left" vertical="top"/>
      <protection locked="0"/>
    </xf>
    <xf numFmtId="0" fontId="18" fillId="3" borderId="20" xfId="0" applyFont="1" applyFill="1" applyBorder="1" applyAlignment="1" applyProtection="1">
      <alignment horizontal="left" vertical="top" indent="1"/>
      <protection locked="0"/>
    </xf>
    <xf numFmtId="0" fontId="18" fillId="0" borderId="20" xfId="0" applyFont="1" applyBorder="1" applyAlignment="1" applyProtection="1">
      <alignment horizontal="left" vertical="top" indent="1"/>
      <protection locked="0"/>
    </xf>
    <xf numFmtId="0" fontId="18" fillId="8" borderId="20" xfId="0" applyFont="1" applyFill="1" applyBorder="1" applyAlignment="1" applyProtection="1">
      <alignment horizontal="left" vertical="top" indent="1"/>
    </xf>
    <xf numFmtId="0" fontId="45" fillId="0" borderId="94" xfId="0" applyFont="1" applyBorder="1" applyAlignment="1">
      <alignment horizontal="left" indent="2"/>
    </xf>
    <xf numFmtId="0" fontId="57" fillId="0" borderId="0" xfId="0" applyFont="1"/>
    <xf numFmtId="0" fontId="16" fillId="10" borderId="88" xfId="0" applyFont="1" applyFill="1" applyBorder="1" applyAlignment="1" applyProtection="1">
      <alignment horizontal="left" vertical="center"/>
    </xf>
    <xf numFmtId="0" fontId="16" fillId="10" borderId="0" xfId="0" applyFont="1" applyFill="1" applyBorder="1" applyAlignment="1" applyProtection="1">
      <alignment horizontal="left" vertical="center"/>
    </xf>
    <xf numFmtId="0" fontId="24" fillId="9" borderId="42" xfId="0" applyFont="1" applyFill="1" applyBorder="1" applyAlignment="1" applyProtection="1">
      <alignment horizontal="right" vertical="center"/>
    </xf>
    <xf numFmtId="0" fontId="24" fillId="9" borderId="24" xfId="0" applyFont="1" applyFill="1" applyBorder="1" applyAlignment="1" applyProtection="1">
      <alignment horizontal="right" vertical="center"/>
    </xf>
    <xf numFmtId="166" fontId="28" fillId="9" borderId="24" xfId="0" applyNumberFormat="1" applyFont="1" applyFill="1" applyBorder="1" applyAlignment="1" applyProtection="1">
      <alignment horizontal="center" vertical="center"/>
    </xf>
    <xf numFmtId="0" fontId="24" fillId="9" borderId="43" xfId="0" applyFont="1" applyFill="1" applyBorder="1" applyAlignment="1" applyProtection="1">
      <alignment horizontal="right" vertical="center"/>
    </xf>
    <xf numFmtId="0" fontId="24" fillId="9" borderId="40" xfId="0" applyFont="1" applyFill="1" applyBorder="1" applyAlignment="1" applyProtection="1">
      <alignment horizontal="right" vertical="center"/>
    </xf>
    <xf numFmtId="166" fontId="28" fillId="9" borderId="40" xfId="0" applyNumberFormat="1" applyFont="1" applyFill="1" applyBorder="1" applyAlignment="1" applyProtection="1">
      <alignment horizontal="center" vertical="center"/>
    </xf>
    <xf numFmtId="0" fontId="30" fillId="10" borderId="88" xfId="0" applyFont="1" applyFill="1" applyBorder="1" applyAlignment="1" applyProtection="1">
      <alignment horizontal="left" vertical="center"/>
    </xf>
    <xf numFmtId="0" fontId="30" fillId="10" borderId="0" xfId="0" applyFont="1" applyFill="1" applyBorder="1" applyAlignment="1" applyProtection="1">
      <alignment horizontal="left" vertical="center"/>
    </xf>
    <xf numFmtId="0" fontId="23" fillId="9" borderId="0" xfId="0" applyFont="1" applyFill="1" applyAlignment="1">
      <alignment horizontal="center"/>
    </xf>
    <xf numFmtId="0" fontId="30" fillId="2" borderId="44" xfId="0" applyFont="1" applyFill="1" applyBorder="1" applyAlignment="1" applyProtection="1">
      <alignment horizontal="center"/>
    </xf>
    <xf numFmtId="0" fontId="30" fillId="2" borderId="45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wrapText="1"/>
      <protection locked="0"/>
    </xf>
    <xf numFmtId="0" fontId="9" fillId="0" borderId="66" xfId="0" applyFont="1" applyBorder="1" applyAlignment="1" applyProtection="1">
      <alignment horizontal="left" wrapText="1"/>
      <protection locked="0"/>
    </xf>
    <xf numFmtId="0" fontId="1" fillId="0" borderId="49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left" vertical="center" wrapText="1" indent="2"/>
    </xf>
    <xf numFmtId="0" fontId="5" fillId="0" borderId="53" xfId="0" applyFont="1" applyBorder="1" applyAlignment="1" applyProtection="1">
      <alignment horizontal="left" vertical="center" wrapText="1" indent="2"/>
    </xf>
    <xf numFmtId="0" fontId="5" fillId="0" borderId="55" xfId="0" applyFont="1" applyBorder="1" applyAlignment="1" applyProtection="1">
      <alignment horizontal="left" vertical="center" wrapText="1" indent="2"/>
    </xf>
    <xf numFmtId="0" fontId="5" fillId="0" borderId="56" xfId="0" applyFont="1" applyBorder="1" applyAlignment="1" applyProtection="1">
      <alignment horizontal="left" vertical="center" wrapText="1" indent="2"/>
    </xf>
    <xf numFmtId="0" fontId="10" fillId="0" borderId="12" xfId="0" applyFont="1" applyBorder="1" applyAlignment="1" applyProtection="1">
      <alignment horizontal="left" vertical="center" wrapText="1"/>
    </xf>
    <xf numFmtId="170" fontId="16" fillId="2" borderId="1" xfId="0" applyNumberFormat="1" applyFont="1" applyFill="1" applyBorder="1" applyAlignment="1" applyProtection="1">
      <alignment horizontal="center" vertical="center"/>
    </xf>
    <xf numFmtId="170" fontId="16" fillId="2" borderId="2" xfId="0" applyNumberFormat="1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6" fillId="2" borderId="2" xfId="0" applyFont="1" applyFill="1" applyBorder="1" applyAlignment="1" applyProtection="1">
      <alignment horizontal="center" vertical="center"/>
    </xf>
    <xf numFmtId="0" fontId="48" fillId="4" borderId="15" xfId="0" applyFont="1" applyFill="1" applyBorder="1" applyAlignment="1" applyProtection="1">
      <alignment horizontal="left" vertical="center" wrapText="1" indent="1"/>
    </xf>
    <xf numFmtId="0" fontId="48" fillId="4" borderId="14" xfId="0" applyFont="1" applyFill="1" applyBorder="1" applyAlignment="1" applyProtection="1">
      <alignment horizontal="left" vertical="center" wrapText="1" indent="1"/>
    </xf>
    <xf numFmtId="0" fontId="15" fillId="5" borderId="0" xfId="0" applyFont="1" applyFill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top" wrapText="1"/>
    </xf>
    <xf numFmtId="0" fontId="5" fillId="0" borderId="73" xfId="0" applyFont="1" applyBorder="1" applyAlignment="1" applyProtection="1">
      <alignment horizontal="left" vertical="center" wrapText="1" indent="2"/>
    </xf>
    <xf numFmtId="0" fontId="5" fillId="0" borderId="74" xfId="0" applyFont="1" applyBorder="1" applyAlignment="1" applyProtection="1">
      <alignment horizontal="left" vertical="center" wrapText="1" indent="2"/>
    </xf>
    <xf numFmtId="0" fontId="15" fillId="5" borderId="12" xfId="0" applyFont="1" applyFill="1" applyBorder="1" applyAlignment="1" applyProtection="1">
      <alignment horizontal="left" vertical="center" wrapText="1" indent="1"/>
    </xf>
    <xf numFmtId="0" fontId="5" fillId="0" borderId="70" xfId="0" applyFont="1" applyBorder="1" applyAlignment="1" applyProtection="1">
      <alignment horizontal="left" vertical="center" wrapText="1" indent="2"/>
    </xf>
    <xf numFmtId="0" fontId="5" fillId="0" borderId="71" xfId="0" applyFont="1" applyBorder="1" applyAlignment="1" applyProtection="1">
      <alignment horizontal="left" vertical="center" wrapText="1" indent="2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0" fillId="7" borderId="14" xfId="0" applyFill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20" fillId="4" borderId="15" xfId="0" applyFont="1" applyFill="1" applyBorder="1" applyAlignment="1" applyProtection="1">
      <alignment horizontal="left" vertical="center" wrapText="1" indent="4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left"/>
    </xf>
    <xf numFmtId="0" fontId="5" fillId="4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2" fillId="2" borderId="5" xfId="0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/>
    <xf numFmtId="0" fontId="0" fillId="0" borderId="13" xfId="0" applyBorder="1" applyAlignment="1" applyProtection="1"/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16" fillId="5" borderId="38" xfId="0" applyFont="1" applyFill="1" applyBorder="1" applyAlignment="1" applyProtection="1">
      <alignment horizontal="left"/>
    </xf>
    <xf numFmtId="0" fontId="16" fillId="5" borderId="39" xfId="0" applyFont="1" applyFill="1" applyBorder="1" applyAlignment="1" applyProtection="1">
      <alignment horizontal="left"/>
    </xf>
    <xf numFmtId="170" fontId="16" fillId="2" borderId="24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34" fillId="3" borderId="22" xfId="0" applyFont="1" applyFill="1" applyBorder="1" applyAlignment="1" applyProtection="1">
      <alignment horizontal="left" vertical="top"/>
      <protection locked="0"/>
    </xf>
    <xf numFmtId="0" fontId="34" fillId="3" borderId="23" xfId="0" applyFont="1" applyFill="1" applyBorder="1" applyAlignment="1" applyProtection="1">
      <alignment horizontal="left" vertical="top"/>
      <protection locked="0"/>
    </xf>
    <xf numFmtId="0" fontId="34" fillId="0" borderId="22" xfId="0" applyFont="1" applyBorder="1" applyAlignment="1" applyProtection="1">
      <alignment horizontal="left" vertical="top"/>
      <protection locked="0"/>
    </xf>
    <xf numFmtId="0" fontId="34" fillId="0" borderId="23" xfId="0" applyFont="1" applyBorder="1" applyAlignment="1" applyProtection="1">
      <alignment horizontal="left" vertical="top"/>
      <protection locked="0"/>
    </xf>
    <xf numFmtId="164" fontId="8" fillId="12" borderId="36" xfId="1" applyNumberFormat="1" applyFont="1" applyFill="1" applyBorder="1" applyAlignment="1" applyProtection="1">
      <alignment horizontal="center" vertical="center" wrapText="1"/>
    </xf>
    <xf numFmtId="164" fontId="8" fillId="12" borderId="37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8" fillId="12" borderId="104" xfId="1" applyNumberFormat="1" applyFont="1" applyFill="1" applyBorder="1" applyAlignment="1" applyProtection="1">
      <alignment horizontal="center" vertical="center" wrapText="1"/>
    </xf>
    <xf numFmtId="0" fontId="8" fillId="12" borderId="103" xfId="1" applyNumberFormat="1" applyFont="1" applyFill="1" applyBorder="1" applyAlignment="1" applyProtection="1">
      <alignment horizontal="center" vertical="center" wrapText="1"/>
    </xf>
    <xf numFmtId="170" fontId="8" fillId="12" borderId="104" xfId="1" applyNumberFormat="1" applyFont="1" applyFill="1" applyBorder="1" applyAlignment="1" applyProtection="1">
      <alignment horizontal="center" vertical="center" wrapText="1"/>
    </xf>
    <xf numFmtId="170" fontId="8" fillId="12" borderId="102" xfId="1" applyNumberFormat="1" applyFont="1" applyFill="1" applyBorder="1" applyAlignment="1" applyProtection="1">
      <alignment horizontal="center" vertical="center" wrapText="1"/>
    </xf>
    <xf numFmtId="170" fontId="8" fillId="12" borderId="103" xfId="1" applyNumberFormat="1" applyFont="1" applyFill="1" applyBorder="1" applyAlignment="1" applyProtection="1">
      <alignment horizontal="center" vertical="center" wrapText="1"/>
    </xf>
    <xf numFmtId="0" fontId="34" fillId="3" borderId="22" xfId="0" applyFont="1" applyFill="1" applyBorder="1" applyAlignment="1" applyProtection="1">
      <alignment horizontal="left" vertical="top"/>
    </xf>
    <xf numFmtId="0" fontId="34" fillId="3" borderId="23" xfId="0" applyFont="1" applyFill="1" applyBorder="1" applyAlignment="1" applyProtection="1">
      <alignment horizontal="left" vertical="top"/>
    </xf>
    <xf numFmtId="0" fontId="34" fillId="0" borderId="22" xfId="0" applyFont="1" applyBorder="1" applyAlignment="1" applyProtection="1">
      <alignment horizontal="left" vertical="top"/>
    </xf>
    <xf numFmtId="0" fontId="34" fillId="0" borderId="23" xfId="0" applyFont="1" applyBorder="1" applyAlignment="1" applyProtection="1">
      <alignment horizontal="left" vertical="top"/>
    </xf>
    <xf numFmtId="164" fontId="16" fillId="12" borderId="101" xfId="1" applyNumberFormat="1" applyFont="1" applyFill="1" applyBorder="1" applyAlignment="1" applyProtection="1">
      <alignment horizontal="left" vertical="center" wrapText="1"/>
    </xf>
    <xf numFmtId="0" fontId="8" fillId="12" borderId="36" xfId="3" applyNumberFormat="1" applyFont="1" applyFill="1" applyBorder="1" applyAlignment="1" applyProtection="1">
      <alignment horizontal="center" vertical="center" wrapText="1"/>
    </xf>
    <xf numFmtId="0" fontId="8" fillId="12" borderId="37" xfId="3" applyNumberFormat="1" applyFont="1" applyFill="1" applyBorder="1" applyAlignment="1" applyProtection="1">
      <alignment horizontal="center" vertical="center" wrapText="1"/>
    </xf>
    <xf numFmtId="0" fontId="8" fillId="15" borderId="102" xfId="0" applyFont="1" applyFill="1" applyBorder="1" applyAlignment="1" applyProtection="1">
      <alignment horizontal="center" wrapText="1"/>
    </xf>
    <xf numFmtId="0" fontId="8" fillId="15" borderId="103" xfId="0" applyFont="1" applyFill="1" applyBorder="1" applyAlignment="1" applyProtection="1">
      <alignment horizontal="center" wrapText="1"/>
    </xf>
    <xf numFmtId="170" fontId="16" fillId="2" borderId="89" xfId="0" applyNumberFormat="1" applyFont="1" applyFill="1" applyBorder="1" applyAlignment="1" applyProtection="1">
      <alignment horizontal="center" vertical="center"/>
    </xf>
    <xf numFmtId="170" fontId="16" fillId="2" borderId="90" xfId="0" applyNumberFormat="1" applyFont="1" applyFill="1" applyBorder="1" applyAlignment="1" applyProtection="1">
      <alignment horizontal="center" vertical="center"/>
    </xf>
    <xf numFmtId="170" fontId="16" fillId="2" borderId="42" xfId="0" applyNumberFormat="1" applyFont="1" applyFill="1" applyBorder="1" applyAlignment="1" applyProtection="1">
      <alignment horizontal="center" vertical="center"/>
    </xf>
    <xf numFmtId="0" fontId="34" fillId="3" borderId="84" xfId="0" applyFont="1" applyFill="1" applyBorder="1" applyAlignment="1" applyProtection="1">
      <alignment horizontal="left" vertical="center" wrapText="1"/>
    </xf>
    <xf numFmtId="0" fontId="34" fillId="3" borderId="68" xfId="0" applyFont="1" applyFill="1" applyBorder="1" applyAlignment="1" applyProtection="1">
      <alignment horizontal="left" vertical="center" wrapText="1"/>
    </xf>
    <xf numFmtId="0" fontId="34" fillId="0" borderId="85" xfId="0" applyFont="1" applyBorder="1" applyAlignment="1" applyProtection="1">
      <alignment horizontal="left" vertical="center"/>
    </xf>
    <xf numFmtId="0" fontId="34" fillId="0" borderId="86" xfId="0" applyFont="1" applyBorder="1" applyAlignment="1" applyProtection="1">
      <alignment horizontal="left" vertical="center"/>
    </xf>
    <xf numFmtId="0" fontId="34" fillId="0" borderId="41" xfId="0" applyFont="1" applyBorder="1" applyAlignment="1" applyProtection="1">
      <alignment horizontal="left" vertical="center"/>
    </xf>
    <xf numFmtId="0" fontId="34" fillId="0" borderId="87" xfId="0" applyFont="1" applyBorder="1" applyAlignment="1" applyProtection="1">
      <alignment horizontal="left" vertical="center"/>
    </xf>
    <xf numFmtId="0" fontId="34" fillId="3" borderId="85" xfId="0" applyFont="1" applyFill="1" applyBorder="1" applyAlignment="1" applyProtection="1">
      <alignment horizontal="left" vertical="center"/>
    </xf>
    <xf numFmtId="0" fontId="34" fillId="3" borderId="86" xfId="0" applyFont="1" applyFill="1" applyBorder="1" applyAlignment="1" applyProtection="1">
      <alignment horizontal="left" vertical="center"/>
    </xf>
    <xf numFmtId="0" fontId="34" fillId="3" borderId="41" xfId="0" applyFont="1" applyFill="1" applyBorder="1" applyAlignment="1" applyProtection="1">
      <alignment horizontal="left" vertical="center"/>
    </xf>
    <xf numFmtId="0" fontId="34" fillId="3" borderId="87" xfId="0" applyFont="1" applyFill="1" applyBorder="1" applyAlignment="1" applyProtection="1">
      <alignment horizontal="left" vertical="center"/>
    </xf>
    <xf numFmtId="0" fontId="34" fillId="0" borderId="84" xfId="0" applyFont="1" applyBorder="1" applyAlignment="1" applyProtection="1">
      <alignment horizontal="left" vertical="center" wrapText="1"/>
    </xf>
    <xf numFmtId="0" fontId="34" fillId="0" borderId="68" xfId="0" applyFont="1" applyBorder="1" applyAlignment="1" applyProtection="1">
      <alignment horizontal="left" vertical="center" wrapText="1"/>
    </xf>
    <xf numFmtId="0" fontId="34" fillId="3" borderId="84" xfId="0" applyFont="1" applyFill="1" applyBorder="1" applyAlignment="1" applyProtection="1">
      <alignment horizontal="left" vertical="top" wrapText="1"/>
    </xf>
    <xf numFmtId="0" fontId="34" fillId="3" borderId="68" xfId="0" applyFont="1" applyFill="1" applyBorder="1" applyAlignment="1" applyProtection="1">
      <alignment horizontal="left" vertical="top" wrapText="1"/>
    </xf>
    <xf numFmtId="0" fontId="34" fillId="0" borderId="84" xfId="0" applyFont="1" applyBorder="1" applyAlignment="1" applyProtection="1">
      <alignment horizontal="left" vertical="center"/>
    </xf>
    <xf numFmtId="0" fontId="34" fillId="0" borderId="68" xfId="0" applyFont="1" applyBorder="1" applyAlignment="1" applyProtection="1">
      <alignment horizontal="left" vertical="center"/>
    </xf>
    <xf numFmtId="0" fontId="34" fillId="0" borderId="84" xfId="0" applyFont="1" applyBorder="1" applyAlignment="1" applyProtection="1">
      <alignment horizontal="left" vertical="top" wrapText="1"/>
    </xf>
    <xf numFmtId="0" fontId="34" fillId="0" borderId="68" xfId="0" applyFont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4" fontId="43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9" fontId="56" fillId="0" borderId="0" xfId="0" applyNumberFormat="1" applyFont="1" applyBorder="1" applyAlignment="1">
      <alignment horizontal="center"/>
    </xf>
    <xf numFmtId="9" fontId="56" fillId="0" borderId="0" xfId="2" applyFont="1" applyBorder="1" applyAlignment="1">
      <alignment horizontal="center"/>
    </xf>
    <xf numFmtId="0" fontId="44" fillId="0" borderId="9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95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67"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ill>
        <patternFill patternType="darkGray">
          <fgColor theme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  <color rgb="FFC6EFCE"/>
      <color rgb="FF006100"/>
      <color rgb="FF1F497D"/>
      <color rgb="FFC5D9F1"/>
      <color rgb="FF5B9BD5"/>
      <color rgb="FF92D05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numLit>
              <c:formatCode>General</c:formatCode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A3-4E5D-9BC9-9941635602BB}"/>
            </c:ext>
          </c:extLst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A3-4E5D-9BC9-99416356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564872"/>
        <c:axId val="726565264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A3-4E5D-9BC9-99416356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564872"/>
        <c:axId val="726565264"/>
      </c:lineChart>
      <c:catAx>
        <c:axId val="72656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565264"/>
        <c:crosses val="autoZero"/>
        <c:auto val="1"/>
        <c:lblAlgn val="ctr"/>
        <c:lblOffset val="100"/>
        <c:noMultiLvlLbl val="0"/>
      </c:catAx>
      <c:valAx>
        <c:axId val="726565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56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IKTVA Ratio SA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Data!$B$3:$B$7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83-4AE2-97A6-E6ED533CBC19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IKTVA Ratio KSA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Data!$C$3:$C$7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83-4AE2-97A6-E6ED533C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566048"/>
        <c:axId val="881448696"/>
      </c:barChart>
      <c:lineChart>
        <c:grouping val="standard"/>
        <c:varyColors val="0"/>
        <c:ser>
          <c:idx val="2"/>
          <c:order val="2"/>
          <c:tx>
            <c:strRef>
              <c:f>Data!$E$2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Data!$E$3:$E$7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83-4AE2-97A6-E6ED533CB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566048"/>
        <c:axId val="881448696"/>
      </c:lineChart>
      <c:catAx>
        <c:axId val="7265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448696"/>
        <c:crosses val="autoZero"/>
        <c:auto val="1"/>
        <c:lblAlgn val="ctr"/>
        <c:lblOffset val="100"/>
        <c:noMultiLvlLbl val="0"/>
      </c:catAx>
      <c:valAx>
        <c:axId val="881448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56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Data!$J$2</c:f>
              <c:strCache>
                <c:ptCount val="1"/>
                <c:pt idx="0">
                  <c:v>Saudi Headcount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Data!$J$3:$J$7</c:f>
              <c:numCache>
                <c:formatCode>_(* #,##0_);_(* \(#,##0\);_(* "-"??_);_(@_)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B9-4A34-8ECE-2E86DBB635F8}"/>
            </c:ext>
          </c:extLst>
        </c:ser>
        <c:ser>
          <c:idx val="1"/>
          <c:order val="1"/>
          <c:tx>
            <c:strRef>
              <c:f>Data!$I$2</c:f>
              <c:strCache>
                <c:ptCount val="1"/>
                <c:pt idx="0">
                  <c:v>Expats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Data!$I$3:$I$7</c:f>
              <c:numCache>
                <c:formatCode>_(* #,##0_);_(* \(#,##0\);_(* "-"??_);_(@_)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B9-4A34-8ECE-2E86DBB63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1449480"/>
        <c:axId val="881449872"/>
      </c:barChart>
      <c:lineChart>
        <c:grouping val="standard"/>
        <c:varyColors val="0"/>
        <c:ser>
          <c:idx val="2"/>
          <c:order val="2"/>
          <c:tx>
            <c:strRef>
              <c:f>Data!$D$2</c:f>
              <c:strCache>
                <c:ptCount val="1"/>
                <c:pt idx="0">
                  <c:v>Saudization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Data!$D$3:$D$7</c:f>
              <c:numCache>
                <c:formatCode>0%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B9-4A34-8ECE-2E86DBB63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74680"/>
        <c:axId val="881450264"/>
      </c:lineChart>
      <c:catAx>
        <c:axId val="88144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449872"/>
        <c:crosses val="autoZero"/>
        <c:auto val="1"/>
        <c:lblAlgn val="ctr"/>
        <c:lblOffset val="100"/>
        <c:noMultiLvlLbl val="0"/>
      </c:catAx>
      <c:valAx>
        <c:axId val="8814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449480"/>
        <c:crosses val="autoZero"/>
        <c:crossBetween val="between"/>
      </c:valAx>
      <c:valAx>
        <c:axId val="8814502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574680"/>
        <c:crosses val="max"/>
        <c:crossBetween val="between"/>
      </c:valAx>
      <c:catAx>
        <c:axId val="861574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1450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5</xdr:col>
      <xdr:colOff>0</xdr:colOff>
      <xdr:row>10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19050</xdr:rowOff>
    </xdr:from>
    <xdr:to>
      <xdr:col>5</xdr:col>
      <xdr:colOff>0</xdr:colOff>
      <xdr:row>10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19050</xdr:rowOff>
    </xdr:from>
    <xdr:to>
      <xdr:col>5</xdr:col>
      <xdr:colOff>9525</xdr:colOff>
      <xdr:row>27</xdr:row>
      <xdr:rowOff>177618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5</xdr:row>
      <xdr:rowOff>1</xdr:rowOff>
    </xdr:from>
    <xdr:to>
      <xdr:col>14</xdr:col>
      <xdr:colOff>695325</xdr:colOff>
      <xdr:row>18</xdr:row>
      <xdr:rowOff>238125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4819650" y="1190626"/>
          <a:ext cx="5981700" cy="3400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1.  The company provides .</a:t>
          </a:r>
        </a:p>
        <a:p>
          <a:r>
            <a:rPr lang="en-US" sz="1400"/>
            <a:t>2.  Saudi Aramco represents XX% of the company's in-Kingdom revenue.</a:t>
          </a:r>
        </a:p>
        <a:p>
          <a:r>
            <a:rPr lang="en-US" sz="1400"/>
            <a:t>3. 2017 Total KSA revenue of $99 million, a xx% increase from the previous year.</a:t>
          </a:r>
        </a:p>
        <a:p>
          <a:r>
            <a:rPr lang="en-US" sz="1400"/>
            <a:t>4. To support IKTVA, the company is:</a:t>
          </a:r>
        </a:p>
        <a:p>
          <a:r>
            <a:rPr lang="en-US" sz="1400"/>
            <a:t>     a.   </a:t>
          </a:r>
        </a:p>
        <a:p>
          <a:r>
            <a:rPr lang="en-US" sz="1400"/>
            <a:t>     b.   </a:t>
          </a:r>
        </a:p>
        <a:p>
          <a:r>
            <a:rPr lang="en-US" sz="1400"/>
            <a:t>     c.  </a:t>
          </a:r>
        </a:p>
        <a:p>
          <a:r>
            <a:rPr lang="en-US" sz="1400"/>
            <a:t>     d.    </a:t>
          </a:r>
        </a:p>
        <a:p>
          <a:r>
            <a:rPr lang="en-US" sz="1400"/>
            <a:t>5. Certified survey results are for [name of companies included in survey]</a:t>
          </a:r>
        </a:p>
        <a:p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</xdr:rowOff>
    </xdr:from>
    <xdr:to>
      <xdr:col>7</xdr:col>
      <xdr:colOff>0</xdr:colOff>
      <xdr:row>42</xdr:row>
      <xdr:rowOff>171451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7366001"/>
          <a:ext cx="10943167" cy="1504950"/>
        </a:xfrm>
        <a:prstGeom prst="rect">
          <a:avLst/>
        </a:prstGeom>
        <a:solidFill>
          <a:schemeClr val="lt1"/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4.</a:t>
          </a:r>
          <a:r>
            <a:rPr lang="en-US" sz="1100" b="1" baseline="0"/>
            <a:t>  </a:t>
          </a:r>
          <a:r>
            <a:rPr lang="en-US" sz="1100" b="1"/>
            <a:t>Please list the</a:t>
          </a:r>
          <a:r>
            <a:rPr lang="en-US" sz="1100" b="1" baseline="0"/>
            <a:t> city and country of any of the company's operations that provide goods and services to customers located in KSA: </a:t>
          </a:r>
          <a:r>
            <a:rPr lang="en-US" sz="1100" baseline="0"/>
            <a:t> </a:t>
          </a:r>
          <a:endParaRPr lang="en-US" sz="1100" b="1" baseline="0"/>
        </a:p>
        <a:p>
          <a:endParaRPr lang="en-US" sz="1100" b="1" baseline="0"/>
        </a:p>
        <a:p>
          <a:endParaRPr lang="en-US" sz="1100" b="0" baseline="0"/>
        </a:p>
        <a:p>
          <a:endParaRPr lang="en-US" sz="1100" b="0" baseline="0"/>
        </a:p>
      </xdr:txBody>
    </xdr:sp>
    <xdr:clientData/>
  </xdr:twoCellAnchor>
  <xdr:twoCellAnchor>
    <xdr:from>
      <xdr:col>0</xdr:col>
      <xdr:colOff>19050</xdr:colOff>
      <xdr:row>35</xdr:row>
      <xdr:rowOff>1</xdr:rowOff>
    </xdr:from>
    <xdr:to>
      <xdr:col>7</xdr:col>
      <xdr:colOff>10583</xdr:colOff>
      <xdr:row>37</xdr:row>
      <xdr:rowOff>57151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9050" y="7366001"/>
          <a:ext cx="10934700" cy="438150"/>
        </a:xfrm>
        <a:prstGeom prst="rect">
          <a:avLst/>
        </a:prstGeom>
        <a:solidFill>
          <a:schemeClr val="accent1">
            <a:alpha val="2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21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705100"/>
          <a:ext cx="6019800" cy="1504950"/>
        </a:xfrm>
        <a:prstGeom prst="rect">
          <a:avLst/>
        </a:prstGeom>
        <a:solidFill>
          <a:schemeClr val="lt1"/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2.  Please</a:t>
          </a:r>
          <a:r>
            <a:rPr lang="en-US" sz="1100" b="1" baseline="0"/>
            <a:t> provide a brief description of the types of goods and services provided to Saudi Aramco and </a:t>
          </a:r>
        </a:p>
        <a:p>
          <a:r>
            <a:rPr lang="en-US" sz="1100" b="1" baseline="0"/>
            <a:t>     other KSA customers: </a:t>
          </a:r>
          <a:r>
            <a:rPr lang="en-US" sz="1100" baseline="0"/>
            <a:t> </a:t>
          </a:r>
          <a:endParaRPr lang="en-US" sz="1100" b="1" baseline="0"/>
        </a:p>
        <a:p>
          <a:endParaRPr lang="en-US" sz="1100" b="1" baseline="0"/>
        </a:p>
        <a:p>
          <a:endParaRPr lang="en-US" sz="1100" b="0" baseline="0"/>
        </a:p>
      </xdr:txBody>
    </xdr:sp>
    <xdr:clientData/>
  </xdr:twoCellAnchor>
  <xdr:twoCellAnchor>
    <xdr:from>
      <xdr:col>0</xdr:col>
      <xdr:colOff>19050</xdr:colOff>
      <xdr:row>14</xdr:row>
      <xdr:rowOff>9526</xdr:rowOff>
    </xdr:from>
    <xdr:to>
      <xdr:col>2</xdr:col>
      <xdr:colOff>0</xdr:colOff>
      <xdr:row>14</xdr:row>
      <xdr:rowOff>447676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9050" y="2705101"/>
          <a:ext cx="6181725" cy="438150"/>
        </a:xfrm>
        <a:prstGeom prst="rect">
          <a:avLst/>
        </a:prstGeom>
        <a:solidFill>
          <a:schemeClr val="accent1">
            <a:alpha val="2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23</xdr:row>
      <xdr:rowOff>19049</xdr:rowOff>
    </xdr:from>
    <xdr:to>
      <xdr:col>2</xdr:col>
      <xdr:colOff>19050</xdr:colOff>
      <xdr:row>33</xdr:row>
      <xdr:rowOff>200024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9050" y="4829174"/>
          <a:ext cx="6200775" cy="2085975"/>
        </a:xfrm>
        <a:prstGeom prst="rect">
          <a:avLst/>
        </a:prstGeom>
        <a:solidFill>
          <a:schemeClr val="lt1"/>
        </a:solidFill>
        <a:ln w="2540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3.  Please</a:t>
          </a:r>
          <a:r>
            <a:rPr lang="en-US" sz="1100" b="1" baseline="0"/>
            <a:t> provide a brief overview of the company's actions and accomplishments to support and</a:t>
          </a:r>
        </a:p>
        <a:p>
          <a:r>
            <a:rPr lang="en-US" sz="1100" b="1" baseline="0"/>
            <a:t>     promote IKTVA and Saudization.  </a:t>
          </a:r>
          <a:r>
            <a:rPr lang="en-US" sz="1100" baseline="0"/>
            <a:t> </a:t>
          </a:r>
          <a:endParaRPr lang="en-US" sz="1100" b="1" baseline="0"/>
        </a:p>
        <a:p>
          <a:endParaRPr lang="en-US" sz="1100" b="1" baseline="0"/>
        </a:p>
        <a:p>
          <a:endParaRPr lang="en-US" sz="1100" b="1"/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2</xdr:col>
      <xdr:colOff>19050</xdr:colOff>
      <xdr:row>25</xdr:row>
      <xdr:rowOff>85725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9050" y="4829175"/>
          <a:ext cx="6200775" cy="447675"/>
        </a:xfrm>
        <a:prstGeom prst="rect">
          <a:avLst/>
        </a:prstGeom>
        <a:solidFill>
          <a:schemeClr val="accent1">
            <a:alpha val="2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3</xdr:row>
      <xdr:rowOff>19050</xdr:rowOff>
    </xdr:from>
    <xdr:to>
      <xdr:col>12</xdr:col>
      <xdr:colOff>342900</xdr:colOff>
      <xdr:row>6</xdr:row>
      <xdr:rowOff>133350</xdr:rowOff>
    </xdr:to>
    <xdr:pic>
      <xdr:nvPicPr>
        <xdr:cNvPr id="2" name="Picture 1" descr="logoLarg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00075"/>
          <a:ext cx="22574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urvey%20&amp;%20Guide\2017\2017%20IKTVA%20Survey%20Draft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 3rd Year"/>
      <sheetName val="Data 3rd Year"/>
      <sheetName val="IKTVA Progress 3rd Year"/>
      <sheetName val="Executive Summary 2nd Year"/>
      <sheetName val="Data 2nd Year"/>
      <sheetName val="IKTVA Progress 2nd Year"/>
      <sheetName val="Review 1"/>
      <sheetName val="Page 1. Company Information"/>
      <sheetName val="Page 2. IKTVA Schedule"/>
      <sheetName val="Page 3. Top IK Supplier Table"/>
      <sheetName val="Page 4 CAPEX Table 2017"/>
      <sheetName val="CAPEX Categories"/>
      <sheetName val="Page 5 Depreciation Table"/>
      <sheetName val="Page 6 Female Employment"/>
      <sheetName val="IKTVA Certif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8"/>
  <sheetViews>
    <sheetView showGridLines="0" workbookViewId="0">
      <selection activeCell="E5" sqref="E5"/>
    </sheetView>
  </sheetViews>
  <sheetFormatPr defaultRowHeight="15" x14ac:dyDescent="0.25"/>
  <cols>
    <col min="1" max="1" width="12" style="41" bestFit="1" customWidth="1"/>
    <col min="2" max="2" width="21.7109375" style="41" customWidth="1"/>
    <col min="3" max="5" width="9.7109375" style="41" customWidth="1"/>
    <col min="6" max="7" width="9.140625" style="41"/>
    <col min="8" max="8" width="15.7109375" style="41" customWidth="1"/>
    <col min="9" max="9" width="8.5703125" style="41" customWidth="1"/>
    <col min="10" max="10" width="2.7109375" style="41" customWidth="1"/>
    <col min="11" max="15" width="10.85546875" style="41" customWidth="1"/>
    <col min="16" max="16384" width="9.140625" style="41"/>
  </cols>
  <sheetData>
    <row r="1" spans="1:15" s="167" customFormat="1" ht="21" customHeight="1" x14ac:dyDescent="0.35">
      <c r="A1" s="163" t="str">
        <f>+'Page 1. Company Information'!B2</f>
        <v>Name of Company</v>
      </c>
      <c r="B1" s="164"/>
      <c r="C1" s="164"/>
      <c r="D1" s="164"/>
      <c r="E1" s="165"/>
      <c r="F1" s="165"/>
      <c r="G1" s="165"/>
      <c r="H1" s="422" t="s">
        <v>177</v>
      </c>
      <c r="I1" s="423"/>
      <c r="J1" s="423"/>
      <c r="K1" s="423"/>
      <c r="L1" s="423"/>
      <c r="M1" s="424">
        <f>+Data!B55</f>
        <v>0</v>
      </c>
      <c r="N1" s="424"/>
      <c r="O1" s="166" t="s">
        <v>49</v>
      </c>
    </row>
    <row r="2" spans="1:15" ht="21" customHeight="1" x14ac:dyDescent="0.35">
      <c r="A2" s="168" t="str">
        <f>"Baseline IKTVA Summary "</f>
        <v xml:space="preserve">Baseline IKTVA Summary </v>
      </c>
      <c r="B2" s="169"/>
      <c r="C2" s="169"/>
      <c r="D2" s="169"/>
      <c r="E2" s="169"/>
      <c r="F2" s="169"/>
      <c r="G2" s="169"/>
      <c r="H2" s="425" t="s">
        <v>178</v>
      </c>
      <c r="I2" s="426"/>
      <c r="J2" s="426"/>
      <c r="K2" s="426"/>
      <c r="L2" s="426"/>
      <c r="M2" s="427">
        <f>+(('Page 2. IKTVA Schedule'!J17+'Page 2. IKTVA Schedule'!L17+'Page 2. IKTVA Schedule'!H17+'Page 2. IKTVA Schedule'!L21+'Page 2. IKTVA Schedule'!H21+'Page 2. IKTVA Schedule'!J21+'Page 2. IKTVA Schedule'!J25+'Page 2. IKTVA Schedule'!H25+'Page 2. IKTVA Schedule'!L25+'Page 2. IKTVA Schedule'!F27+'Page 2. IKTVA Schedule'!H27+'Page 2. IKTVA Schedule'!J27+'Page 2. IKTVA Schedule'!J29)/3)/1000000</f>
        <v>0</v>
      </c>
      <c r="N2" s="427"/>
      <c r="O2" s="170" t="s">
        <v>49</v>
      </c>
    </row>
    <row r="3" spans="1:15" x14ac:dyDescent="0.25">
      <c r="O3" s="251" t="s">
        <v>201</v>
      </c>
    </row>
    <row r="4" spans="1:15" ht="15" customHeight="1" x14ac:dyDescent="0.25">
      <c r="A4" s="428" t="s">
        <v>242</v>
      </c>
      <c r="B4" s="429"/>
      <c r="C4" s="171"/>
      <c r="D4" s="216" t="str">
        <f>"SA"</f>
        <v>SA</v>
      </c>
      <c r="E4" s="330" t="str">
        <f>"KSA"</f>
        <v>KSA</v>
      </c>
      <c r="G4" s="171"/>
      <c r="H4" s="171"/>
      <c r="I4" s="171"/>
      <c r="J4" s="171"/>
      <c r="K4" s="171"/>
      <c r="L4" s="171"/>
      <c r="M4" s="171"/>
      <c r="N4" s="171"/>
      <c r="O4" s="171"/>
    </row>
    <row r="5" spans="1:15" ht="21.75" thickBot="1" x14ac:dyDescent="0.3">
      <c r="A5" s="420" t="s">
        <v>241</v>
      </c>
      <c r="B5" s="421"/>
      <c r="C5" s="173"/>
      <c r="D5" s="217">
        <f>+Data!B10</f>
        <v>0</v>
      </c>
      <c r="E5" s="218">
        <f>+Data!C10</f>
        <v>0</v>
      </c>
      <c r="G5" s="172" t="s">
        <v>50</v>
      </c>
      <c r="H5" s="172"/>
      <c r="I5" s="173"/>
      <c r="J5" s="174"/>
      <c r="K5" s="174"/>
      <c r="L5" s="174"/>
      <c r="M5" s="174"/>
      <c r="N5" s="174"/>
      <c r="O5" s="174"/>
    </row>
    <row r="6" spans="1:15" x14ac:dyDescent="0.25">
      <c r="A6" s="175" t="s">
        <v>51</v>
      </c>
      <c r="G6" s="176"/>
      <c r="H6" s="177"/>
      <c r="I6" s="177"/>
      <c r="J6" s="177"/>
      <c r="K6" s="177"/>
      <c r="L6" s="177"/>
      <c r="M6" s="177"/>
      <c r="N6" s="177"/>
      <c r="O6" s="178"/>
    </row>
    <row r="7" spans="1:15" ht="21" x14ac:dyDescent="0.35">
      <c r="A7" s="179"/>
      <c r="G7" s="180"/>
      <c r="H7" s="167"/>
      <c r="I7" s="167"/>
      <c r="J7" s="167"/>
      <c r="K7" s="167"/>
      <c r="L7" s="167"/>
      <c r="M7" s="167"/>
      <c r="N7" s="167"/>
      <c r="O7" s="181"/>
    </row>
    <row r="8" spans="1:15" ht="21" x14ac:dyDescent="0.35">
      <c r="A8" s="179"/>
      <c r="G8" s="180"/>
      <c r="H8" s="167"/>
      <c r="I8" s="167"/>
      <c r="J8" s="167"/>
      <c r="K8" s="167"/>
      <c r="L8" s="167"/>
      <c r="M8" s="167"/>
      <c r="N8" s="167"/>
      <c r="O8" s="181"/>
    </row>
    <row r="9" spans="1:15" ht="21" x14ac:dyDescent="0.35">
      <c r="A9" s="179"/>
      <c r="G9" s="180"/>
      <c r="H9" s="167"/>
      <c r="I9" s="167"/>
      <c r="J9" s="167"/>
      <c r="K9" s="167"/>
      <c r="L9" s="167"/>
      <c r="M9" s="167"/>
      <c r="N9" s="167"/>
      <c r="O9" s="181"/>
    </row>
    <row r="10" spans="1:15" ht="21" x14ac:dyDescent="0.35">
      <c r="A10" s="179"/>
      <c r="G10" s="180"/>
      <c r="H10" s="167"/>
      <c r="I10" s="167"/>
      <c r="J10" s="167"/>
      <c r="K10" s="167"/>
      <c r="L10" s="167"/>
      <c r="M10" s="167"/>
      <c r="N10" s="167"/>
      <c r="O10" s="181"/>
    </row>
    <row r="11" spans="1:15" ht="12" customHeight="1" thickBot="1" x14ac:dyDescent="0.4">
      <c r="A11" s="179"/>
      <c r="G11" s="182"/>
      <c r="H11" s="167"/>
      <c r="I11" s="167"/>
      <c r="J11" s="167"/>
      <c r="K11" s="167"/>
      <c r="L11" s="167"/>
      <c r="M11" s="167"/>
      <c r="N11" s="167"/>
      <c r="O11" s="181"/>
    </row>
    <row r="12" spans="1:15" ht="23.25" x14ac:dyDescent="0.25">
      <c r="A12" s="248" t="s">
        <v>240</v>
      </c>
      <c r="B12" s="249"/>
      <c r="C12" s="183"/>
      <c r="D12" s="183"/>
      <c r="E12" s="184"/>
      <c r="G12" s="185"/>
      <c r="H12" s="167"/>
      <c r="I12" s="167"/>
      <c r="J12" s="167"/>
      <c r="K12" s="167"/>
      <c r="L12" s="167"/>
      <c r="M12" s="167"/>
      <c r="N12" s="167"/>
      <c r="O12" s="181"/>
    </row>
    <row r="13" spans="1:15" ht="21" x14ac:dyDescent="0.25">
      <c r="A13" s="420" t="s">
        <v>241</v>
      </c>
      <c r="B13" s="421"/>
      <c r="C13" s="174"/>
      <c r="D13" s="219" t="s">
        <v>238</v>
      </c>
      <c r="E13" s="331" t="s">
        <v>239</v>
      </c>
      <c r="G13" s="180"/>
      <c r="H13" s="167"/>
      <c r="I13" s="167"/>
      <c r="J13" s="167"/>
      <c r="K13" s="167"/>
      <c r="L13" s="167"/>
      <c r="M13" s="167"/>
      <c r="N13" s="167"/>
      <c r="O13" s="181"/>
    </row>
    <row r="14" spans="1:15" ht="18.75" x14ac:dyDescent="0.3">
      <c r="A14" s="186" t="s">
        <v>52</v>
      </c>
      <c r="B14" s="167"/>
      <c r="C14" s="187"/>
      <c r="D14" s="295" t="str">
        <f>+Data!D16</f>
        <v>NA</v>
      </c>
      <c r="E14" s="296" t="str">
        <f>+Data!D27</f>
        <v>NA</v>
      </c>
      <c r="G14" s="182"/>
      <c r="H14" s="167"/>
      <c r="I14" s="167"/>
      <c r="J14" s="167"/>
      <c r="K14" s="167"/>
      <c r="L14" s="167"/>
      <c r="M14" s="167"/>
      <c r="N14" s="167"/>
      <c r="O14" s="181"/>
    </row>
    <row r="15" spans="1:15" ht="18.75" x14ac:dyDescent="0.3">
      <c r="A15" s="186" t="s">
        <v>219</v>
      </c>
      <c r="B15" s="167"/>
      <c r="C15" s="187"/>
      <c r="D15" s="295" t="str">
        <f>+Data!D17</f>
        <v>NA</v>
      </c>
      <c r="E15" s="296" t="str">
        <f>+Data!D28</f>
        <v>NA</v>
      </c>
      <c r="G15" s="180"/>
      <c r="H15" s="167"/>
      <c r="I15" s="167"/>
      <c r="J15" s="167"/>
      <c r="K15" s="167"/>
      <c r="L15" s="167"/>
      <c r="M15" s="167"/>
      <c r="N15" s="167"/>
      <c r="O15" s="181"/>
    </row>
    <row r="16" spans="1:15" ht="18.75" x14ac:dyDescent="0.3">
      <c r="A16" s="186" t="s">
        <v>60</v>
      </c>
      <c r="B16" s="167"/>
      <c r="C16" s="187"/>
      <c r="D16" s="295" t="str">
        <f>+Data!D18</f>
        <v>NA</v>
      </c>
      <c r="E16" s="296" t="str">
        <f>+Data!D29</f>
        <v>NA</v>
      </c>
      <c r="G16" s="182"/>
      <c r="H16" s="167"/>
      <c r="I16" s="167"/>
      <c r="J16" s="167"/>
      <c r="K16" s="167"/>
      <c r="L16" s="167"/>
      <c r="M16" s="167"/>
      <c r="N16" s="167"/>
      <c r="O16" s="181"/>
    </row>
    <row r="17" spans="1:16" ht="18.75" x14ac:dyDescent="0.3">
      <c r="A17" s="186" t="s">
        <v>53</v>
      </c>
      <c r="B17" s="167"/>
      <c r="C17" s="187"/>
      <c r="D17" s="295" t="str">
        <f>+Data!D19</f>
        <v>NA</v>
      </c>
      <c r="E17" s="296" t="str">
        <f>+Data!D30</f>
        <v>NA</v>
      </c>
      <c r="G17" s="182"/>
      <c r="H17" s="167"/>
      <c r="I17" s="167"/>
      <c r="J17" s="167"/>
      <c r="K17" s="167"/>
      <c r="L17" s="167"/>
      <c r="M17" s="167"/>
      <c r="N17" s="167"/>
      <c r="O17" s="181"/>
    </row>
    <row r="18" spans="1:16" ht="18.75" x14ac:dyDescent="0.3">
      <c r="A18" s="186" t="s">
        <v>176</v>
      </c>
      <c r="B18" s="167"/>
      <c r="C18" s="187"/>
      <c r="D18" s="295" t="str">
        <f>+Data!D20</f>
        <v>NA</v>
      </c>
      <c r="E18" s="296" t="str">
        <f>+Data!D31</f>
        <v>NA</v>
      </c>
      <c r="G18" s="182"/>
      <c r="H18" s="167"/>
      <c r="I18" s="167"/>
      <c r="J18" s="167"/>
      <c r="K18" s="167"/>
      <c r="L18" s="167"/>
      <c r="M18" s="167"/>
      <c r="N18" s="167"/>
      <c r="O18" s="181"/>
    </row>
    <row r="19" spans="1:16" ht="19.5" thickBot="1" x14ac:dyDescent="0.35">
      <c r="A19" s="188" t="s">
        <v>357</v>
      </c>
      <c r="B19" s="189"/>
      <c r="C19" s="190"/>
      <c r="D19" s="297" t="str">
        <f>+Data!D21</f>
        <v>NA</v>
      </c>
      <c r="E19" s="298" t="str">
        <f>+Data!D32</f>
        <v>NA</v>
      </c>
      <c r="F19" s="167"/>
      <c r="G19" s="332"/>
      <c r="H19" s="189"/>
      <c r="I19" s="189"/>
      <c r="J19" s="189"/>
      <c r="K19" s="189"/>
      <c r="L19" s="189"/>
      <c r="M19" s="189"/>
      <c r="N19" s="189"/>
      <c r="O19" s="333"/>
      <c r="P19" s="167"/>
    </row>
    <row r="20" spans="1:16" ht="12" customHeight="1" thickBot="1" x14ac:dyDescent="0.4">
      <c r="A20" s="179"/>
      <c r="F20" s="167"/>
      <c r="G20" s="189"/>
      <c r="H20" s="189"/>
      <c r="I20" s="189"/>
      <c r="J20" s="189"/>
      <c r="K20" s="189"/>
      <c r="L20" s="189"/>
      <c r="M20" s="189"/>
      <c r="N20" s="189"/>
      <c r="O20" s="189"/>
      <c r="P20" s="167"/>
    </row>
    <row r="21" spans="1:16" ht="23.25" x14ac:dyDescent="0.25">
      <c r="A21" s="191" t="s">
        <v>54</v>
      </c>
      <c r="B21" s="173"/>
      <c r="C21" s="174"/>
      <c r="D21" s="174"/>
      <c r="E21" s="220">
        <f>+Data!$D$7</f>
        <v>0</v>
      </c>
      <c r="G21" s="250" t="s">
        <v>55</v>
      </c>
      <c r="H21" s="221"/>
      <c r="I21" s="222"/>
      <c r="J21" s="223"/>
      <c r="K21" s="224">
        <f>+L21-1</f>
        <v>2013</v>
      </c>
      <c r="L21" s="224">
        <f>+M21-1</f>
        <v>2014</v>
      </c>
      <c r="M21" s="224">
        <f>+N21-1</f>
        <v>2015</v>
      </c>
      <c r="N21" s="224">
        <f>+O21-1</f>
        <v>2016</v>
      </c>
      <c r="O21" s="224">
        <f>YEAR('Page 1. Company Information'!B3)</f>
        <v>2017</v>
      </c>
    </row>
    <row r="22" spans="1:16" x14ac:dyDescent="0.25">
      <c r="A22" s="175" t="s">
        <v>51</v>
      </c>
      <c r="G22" s="182"/>
      <c r="H22" s="167"/>
      <c r="I22" s="167"/>
      <c r="J22" s="167"/>
      <c r="K22" s="167"/>
      <c r="L22" s="167"/>
      <c r="M22" s="167"/>
      <c r="N22" s="167"/>
      <c r="O22" s="181"/>
    </row>
    <row r="23" spans="1:16" ht="18.75" x14ac:dyDescent="0.3">
      <c r="G23" s="186" t="s">
        <v>9</v>
      </c>
      <c r="H23" s="192"/>
      <c r="I23" s="167"/>
      <c r="J23" s="167"/>
      <c r="K23" s="193"/>
      <c r="L23" s="193"/>
      <c r="M23" s="193">
        <f>+'Page 2. IKTVA Schedule'!I12/1000000</f>
        <v>0</v>
      </c>
      <c r="N23" s="193">
        <f>+'Page 2. IKTVA Schedule'!K12/1000000</f>
        <v>0</v>
      </c>
      <c r="O23" s="194">
        <f>+'Page 2. IKTVA Schedule'!M12/1000000</f>
        <v>0</v>
      </c>
    </row>
    <row r="24" spans="1:16" ht="18.75" x14ac:dyDescent="0.3">
      <c r="G24" s="186" t="s">
        <v>56</v>
      </c>
      <c r="H24" s="192"/>
      <c r="I24" s="167"/>
      <c r="J24" s="167"/>
      <c r="K24" s="193"/>
      <c r="L24" s="193"/>
      <c r="M24" s="193">
        <f>+'Page 2. IKTVA Schedule'!I40/1000000</f>
        <v>0</v>
      </c>
      <c r="N24" s="193">
        <f>+'Page 2. IKTVA Schedule'!K40/1000000</f>
        <v>0</v>
      </c>
      <c r="O24" s="194">
        <f>+'Page 2. IKTVA Schedule'!M40/1000000</f>
        <v>0</v>
      </c>
    </row>
    <row r="25" spans="1:16" ht="18.75" x14ac:dyDescent="0.3">
      <c r="G25" s="186" t="s">
        <v>116</v>
      </c>
      <c r="H25" s="192"/>
      <c r="I25" s="167"/>
      <c r="J25" s="167"/>
      <c r="K25" s="193"/>
      <c r="L25" s="193"/>
      <c r="M25" s="193">
        <f>+'Page 2. IKTVA Schedule'!I44/1000000</f>
        <v>0</v>
      </c>
      <c r="N25" s="193">
        <f>+'Page 2. IKTVA Schedule'!K44/1000000</f>
        <v>0</v>
      </c>
      <c r="O25" s="194">
        <f>+'Page 2. IKTVA Schedule'!M44/1000000</f>
        <v>0</v>
      </c>
    </row>
    <row r="26" spans="1:16" ht="18.75" x14ac:dyDescent="0.3">
      <c r="G26" s="186"/>
      <c r="H26" s="192"/>
      <c r="I26" s="167"/>
      <c r="J26" s="167"/>
      <c r="K26" s="193"/>
      <c r="L26" s="193"/>
      <c r="M26" s="193"/>
      <c r="N26" s="193"/>
      <c r="O26" s="194"/>
    </row>
    <row r="27" spans="1:16" ht="18.75" x14ac:dyDescent="0.3">
      <c r="G27" s="186" t="s">
        <v>58</v>
      </c>
      <c r="H27" s="192"/>
      <c r="I27" s="167"/>
      <c r="J27" s="167"/>
      <c r="K27" s="195"/>
      <c r="L27" s="195"/>
      <c r="M27" s="195">
        <f>+'Page 2. IKTVA Schedule'!I19</f>
        <v>0</v>
      </c>
      <c r="N27" s="195">
        <f>+'Page 2. IKTVA Schedule'!K19</f>
        <v>0</v>
      </c>
      <c r="O27" s="196">
        <f>+'Page 2. IKTVA Schedule'!M19</f>
        <v>0</v>
      </c>
    </row>
    <row r="28" spans="1:16" ht="19.5" thickBot="1" x14ac:dyDescent="0.35">
      <c r="G28" s="188" t="s">
        <v>59</v>
      </c>
      <c r="H28" s="197"/>
      <c r="I28" s="189"/>
      <c r="J28" s="189"/>
      <c r="K28" s="198"/>
      <c r="L28" s="198"/>
      <c r="M28" s="198">
        <f>+'Page 2. IKTVA Schedule'!I20</f>
        <v>0</v>
      </c>
      <c r="N28" s="198">
        <f>+'Page 2. IKTVA Schedule'!K20</f>
        <v>0</v>
      </c>
      <c r="O28" s="199">
        <f>+'Page 2. IKTVA Schedule'!M20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A13:B13"/>
    <mergeCell ref="H1:L1"/>
    <mergeCell ref="M1:N1"/>
    <mergeCell ref="H2:L2"/>
    <mergeCell ref="M2:N2"/>
    <mergeCell ref="A4:B4"/>
    <mergeCell ref="A5:B5"/>
  </mergeCells>
  <pageMargins left="0.7" right="0.7" top="0.75" bottom="0.75" header="0.3" footer="0.3"/>
  <pageSetup scale="75" fitToHeight="0" orientation="landscape" r:id="rId1"/>
  <headerFooter differentOddEven="1">
    <oddFooter>&amp;R&amp;D&amp;CSaudi Aramco: Confidential</oddFooter>
    <evenFooter>&amp;CSaudi Aramco: Confidential</even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workbookViewId="0">
      <selection activeCell="A46" sqref="A46"/>
    </sheetView>
  </sheetViews>
  <sheetFormatPr defaultRowHeight="15" x14ac:dyDescent="0.25"/>
  <cols>
    <col min="1" max="2" width="9.140625" style="2"/>
    <col min="3" max="4" width="15.7109375" style="2" customWidth="1"/>
    <col min="5" max="16384" width="9.140625" style="2"/>
  </cols>
  <sheetData>
    <row r="1" spans="1:60" s="41" customFormat="1" ht="26.25" x14ac:dyDescent="0.4">
      <c r="A1" s="483" t="str">
        <f>+'Page 1. Company Information'!$B$2</f>
        <v>Name of Company</v>
      </c>
      <c r="B1" s="483"/>
      <c r="C1" s="48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41" customFormat="1" ht="23.25" x14ac:dyDescent="0.35">
      <c r="A2" s="284" t="s">
        <v>234</v>
      </c>
      <c r="B2" s="284"/>
      <c r="C2" s="284"/>
      <c r="D2" s="287"/>
      <c r="E2" s="287"/>
      <c r="F2" s="287"/>
      <c r="G2" s="28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s="41" customFormat="1" ht="21" x14ac:dyDescent="0.35">
      <c r="A3" s="498"/>
      <c r="B3" s="498"/>
      <c r="C3" s="56"/>
      <c r="D3" s="56"/>
      <c r="E3" s="56"/>
      <c r="F3" s="56"/>
      <c r="G3" s="56"/>
      <c r="H3" s="5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s="41" customFormat="1" ht="21" x14ac:dyDescent="0.35">
      <c r="A4" s="498" t="s">
        <v>4</v>
      </c>
      <c r="B4" s="498"/>
      <c r="C4" s="286"/>
      <c r="D4" s="57"/>
      <c r="E4" s="57"/>
      <c r="F4" s="58"/>
      <c r="G4" s="57"/>
      <c r="H4" s="5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41" customFormat="1" ht="21" x14ac:dyDescent="0.35">
      <c r="A5" s="288" t="s">
        <v>351</v>
      </c>
      <c r="B5" s="28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s="41" customFormat="1" ht="21" x14ac:dyDescent="0.35">
      <c r="A6" s="288"/>
      <c r="B6" s="28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30" x14ac:dyDescent="0.25">
      <c r="A7" s="41"/>
      <c r="B7" s="61" t="s">
        <v>174</v>
      </c>
      <c r="C7" s="61" t="s">
        <v>233</v>
      </c>
      <c r="D7" s="61" t="s">
        <v>63</v>
      </c>
      <c r="E7" s="41"/>
      <c r="F7" s="41"/>
    </row>
    <row r="8" spans="1:60" x14ac:dyDescent="0.25">
      <c r="A8" s="41"/>
      <c r="B8" s="142">
        <v>2017</v>
      </c>
      <c r="C8" s="78">
        <f>+'Page 5a. CAPEX Table'!AR$52</f>
        <v>0</v>
      </c>
      <c r="D8" s="78">
        <f>+'Page 5a. CAPEX Table'!AU$52</f>
        <v>0</v>
      </c>
      <c r="E8" s="41"/>
      <c r="F8" s="41"/>
    </row>
    <row r="9" spans="1:60" x14ac:dyDescent="0.25">
      <c r="A9" s="41"/>
      <c r="B9" s="142">
        <f>+B8-1</f>
        <v>2016</v>
      </c>
      <c r="C9" s="78">
        <f>+'Page 5a. CAPEX Table'!AN$52</f>
        <v>0</v>
      </c>
      <c r="D9" s="78">
        <f>+'Page 5a. CAPEX Table'!AQ$52</f>
        <v>0</v>
      </c>
      <c r="E9" s="41"/>
      <c r="F9" s="41"/>
    </row>
    <row r="10" spans="1:60" x14ac:dyDescent="0.25">
      <c r="A10" s="41"/>
      <c r="B10" s="142">
        <f t="shared" ref="B10:B17" si="0">+B9-1</f>
        <v>2015</v>
      </c>
      <c r="C10" s="78">
        <f>+'Page 5a. CAPEX Table'!AJ$52</f>
        <v>0</v>
      </c>
      <c r="D10" s="78">
        <f>+'Page 5a. CAPEX Table'!AM$52</f>
        <v>0</v>
      </c>
      <c r="E10" s="41"/>
      <c r="F10" s="41"/>
    </row>
    <row r="11" spans="1:60" x14ac:dyDescent="0.25">
      <c r="A11" s="41"/>
      <c r="B11" s="142">
        <f t="shared" si="0"/>
        <v>2014</v>
      </c>
      <c r="C11" s="78">
        <f>+'Page 5a. CAPEX Table'!AF$52</f>
        <v>0</v>
      </c>
      <c r="D11" s="78">
        <f>+'Page 5a. CAPEX Table'!AI$52</f>
        <v>0</v>
      </c>
      <c r="E11" s="41"/>
      <c r="F11" s="41"/>
    </row>
    <row r="12" spans="1:60" x14ac:dyDescent="0.25">
      <c r="A12" s="41"/>
      <c r="B12" s="142">
        <f t="shared" si="0"/>
        <v>2013</v>
      </c>
      <c r="C12" s="78">
        <f>+'Page 5a. CAPEX Table'!AB$52</f>
        <v>0</v>
      </c>
      <c r="D12" s="78">
        <f>+'Page 5a. CAPEX Table'!AE$52</f>
        <v>0</v>
      </c>
      <c r="E12" s="41"/>
      <c r="F12" s="41"/>
    </row>
    <row r="13" spans="1:60" x14ac:dyDescent="0.25">
      <c r="A13" s="41"/>
      <c r="B13" s="142">
        <f t="shared" si="0"/>
        <v>2012</v>
      </c>
      <c r="C13" s="78">
        <f>+'Page 5a. CAPEX Table'!X$52</f>
        <v>0</v>
      </c>
      <c r="D13" s="78">
        <f>+'Page 5a. CAPEX Table'!AA$52</f>
        <v>0</v>
      </c>
      <c r="E13" s="41"/>
      <c r="F13" s="41"/>
    </row>
    <row r="14" spans="1:60" x14ac:dyDescent="0.25">
      <c r="A14" s="41"/>
      <c r="B14" s="142">
        <f t="shared" si="0"/>
        <v>2011</v>
      </c>
      <c r="C14" s="78">
        <f>+'Page 5a. CAPEX Table'!T$52</f>
        <v>0</v>
      </c>
      <c r="D14" s="78">
        <f>+'Page 5a. CAPEX Table'!W$52</f>
        <v>0</v>
      </c>
      <c r="E14" s="41"/>
      <c r="F14" s="41"/>
    </row>
    <row r="15" spans="1:60" x14ac:dyDescent="0.25">
      <c r="A15" s="41"/>
      <c r="B15" s="142">
        <f t="shared" si="0"/>
        <v>2010</v>
      </c>
      <c r="C15" s="78">
        <f>+'Page 5a. CAPEX Table'!P$52</f>
        <v>0</v>
      </c>
      <c r="D15" s="78">
        <f>+'Page 5a. CAPEX Table'!S$52</f>
        <v>0</v>
      </c>
      <c r="E15" s="41"/>
      <c r="F15" s="41"/>
    </row>
    <row r="16" spans="1:60" x14ac:dyDescent="0.25">
      <c r="A16" s="41"/>
      <c r="B16" s="142">
        <f t="shared" si="0"/>
        <v>2009</v>
      </c>
      <c r="C16" s="78">
        <f>+'Page 5a. CAPEX Table'!L$52</f>
        <v>0</v>
      </c>
      <c r="D16" s="78">
        <f>+'Page 5a. CAPEX Table'!O$52</f>
        <v>0</v>
      </c>
      <c r="E16" s="41"/>
      <c r="F16" s="41"/>
    </row>
    <row r="17" spans="1:6" x14ac:dyDescent="0.25">
      <c r="A17" s="41"/>
      <c r="B17" s="142">
        <f t="shared" si="0"/>
        <v>2008</v>
      </c>
      <c r="C17" s="292">
        <f>+'Page 5a. CAPEX Table'!H$52</f>
        <v>0</v>
      </c>
      <c r="D17" s="292">
        <f>+'Page 5a. CAPEX Table'!K$52</f>
        <v>0</v>
      </c>
      <c r="E17" s="41"/>
      <c r="F17" s="41"/>
    </row>
    <row r="18" spans="1:6" x14ac:dyDescent="0.25">
      <c r="A18" s="41"/>
      <c r="B18" s="142">
        <v>2007</v>
      </c>
      <c r="C18" s="289">
        <f>+'Page 5a. CAPEX Table'!D$52</f>
        <v>0</v>
      </c>
      <c r="D18" s="289">
        <f>+'Page 5a. CAPEX Table'!G$52</f>
        <v>0</v>
      </c>
      <c r="E18" s="41"/>
      <c r="F18" s="41"/>
    </row>
    <row r="19" spans="1:6" x14ac:dyDescent="0.25">
      <c r="A19" s="41"/>
      <c r="B19" s="41"/>
      <c r="C19" s="78">
        <f>SUM(C8:C18)</f>
        <v>0</v>
      </c>
      <c r="D19" s="78">
        <f>SUM(D8:D18)</f>
        <v>0</v>
      </c>
      <c r="E19" s="41"/>
      <c r="F19" s="41"/>
    </row>
  </sheetData>
  <sheetProtection algorithmName="SHA-512" hashValue="OYoboWMLxqOCUW5wYQxGxkt8NVa7Mh82y3ehQbsILBN9sXBrdvdy0a70TWvL8R32B4v8E9OMEojTyxVF/zz8UQ==" saltValue="R0ZtalZtm6iGrunQlQDHmA==" spinCount="100000" sheet="1" objects="1" scenarios="1" selectLockedCells="1"/>
  <mergeCells count="3">
    <mergeCell ref="A1:C1"/>
    <mergeCell ref="A3:B3"/>
    <mergeCell ref="A4:B4"/>
  </mergeCells>
  <pageMargins left="0.7" right="0.7" top="0.75" bottom="0.75" header="0.3" footer="0.3"/>
  <pageSetup orientation="portrait" r:id="rId1"/>
  <headerFooter differentOddEven="1">
    <oddFooter>&amp;CSaudi Aramco: Confidential</oddFooter>
    <evenFooter>&amp;CSaudi Aramco: Confidential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I52"/>
  <sheetViews>
    <sheetView showGridLines="0" zoomScale="85" zoomScaleNormal="85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5" x14ac:dyDescent="0.25"/>
  <cols>
    <col min="1" max="1" width="6.42578125" style="72" customWidth="1"/>
    <col min="2" max="3" width="45.140625" style="41" customWidth="1"/>
    <col min="4" max="4" width="15.7109375" style="41" customWidth="1"/>
    <col min="5" max="5" width="13.85546875" style="142" bestFit="1" customWidth="1"/>
    <col min="6" max="6" width="15.7109375" style="142" customWidth="1"/>
    <col min="7" max="8" width="15.7109375" style="41" customWidth="1"/>
    <col min="9" max="9" width="13.85546875" style="142" bestFit="1" customWidth="1"/>
    <col min="10" max="10" width="15.7109375" style="142" customWidth="1"/>
    <col min="11" max="12" width="15.7109375" style="41" customWidth="1"/>
    <col min="13" max="13" width="13.85546875" style="142" bestFit="1" customWidth="1"/>
    <col min="14" max="14" width="15.7109375" style="142" customWidth="1"/>
    <col min="15" max="16" width="15.7109375" style="41" customWidth="1"/>
    <col min="17" max="17" width="13.85546875" style="142" bestFit="1" customWidth="1"/>
    <col min="18" max="18" width="15.7109375" style="142" customWidth="1"/>
    <col min="19" max="20" width="15.7109375" style="41" customWidth="1"/>
    <col min="21" max="21" width="13.85546875" style="142" bestFit="1" customWidth="1"/>
    <col min="22" max="22" width="15.7109375" style="142" customWidth="1"/>
    <col min="23" max="24" width="15.7109375" style="41" customWidth="1"/>
    <col min="25" max="25" width="13.85546875" style="142" bestFit="1" customWidth="1"/>
    <col min="26" max="26" width="15.7109375" style="142" customWidth="1"/>
    <col min="27" max="28" width="15.7109375" style="41" customWidth="1"/>
    <col min="29" max="29" width="13.85546875" style="142" bestFit="1" customWidth="1"/>
    <col min="30" max="30" width="15.7109375" style="142" customWidth="1"/>
    <col min="31" max="32" width="15.7109375" style="41" customWidth="1"/>
    <col min="33" max="33" width="13.85546875" style="142" bestFit="1" customWidth="1"/>
    <col min="34" max="34" width="15.7109375" style="142" customWidth="1"/>
    <col min="35" max="36" width="15.7109375" style="41" customWidth="1"/>
    <col min="37" max="37" width="13.85546875" style="142" bestFit="1" customWidth="1"/>
    <col min="38" max="38" width="15.7109375" style="142" customWidth="1"/>
    <col min="39" max="40" width="15.7109375" style="41" customWidth="1"/>
    <col min="41" max="41" width="13.85546875" style="142" bestFit="1" customWidth="1"/>
    <col min="42" max="42" width="15.7109375" style="142" customWidth="1"/>
    <col min="43" max="44" width="15.7109375" style="41" customWidth="1"/>
    <col min="45" max="45" width="13.85546875" style="142" bestFit="1" customWidth="1"/>
    <col min="46" max="46" width="15.7109375" style="142" customWidth="1"/>
    <col min="47" max="47" width="15.7109375" style="41" customWidth="1"/>
    <col min="48" max="58" width="9.140625" style="41"/>
    <col min="59" max="59" width="5.28515625" style="41" bestFit="1" customWidth="1"/>
    <col min="60" max="60" width="19.28515625" style="41" bestFit="1" customWidth="1"/>
    <col min="61" max="16384" width="9.140625" style="41"/>
  </cols>
  <sheetData>
    <row r="1" spans="1:61" ht="26.25" x14ac:dyDescent="0.4">
      <c r="A1" s="483" t="str">
        <f>+'Page 1. Company Information'!$B$2</f>
        <v>Name of Company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143"/>
      <c r="BI1" s="144"/>
    </row>
    <row r="2" spans="1:61" ht="23.25" x14ac:dyDescent="0.35">
      <c r="A2" s="484" t="s">
        <v>89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145"/>
    </row>
    <row r="3" spans="1:61" ht="23.25" x14ac:dyDescent="0.35">
      <c r="A3" s="148" t="s">
        <v>202</v>
      </c>
      <c r="B3" s="148"/>
      <c r="C3" s="226"/>
      <c r="D3" s="284"/>
      <c r="E3" s="145"/>
      <c r="H3" s="284"/>
      <c r="I3" s="145"/>
      <c r="L3" s="284"/>
      <c r="M3" s="145"/>
      <c r="P3" s="284"/>
      <c r="Q3" s="145"/>
      <c r="T3" s="284"/>
      <c r="U3" s="145"/>
      <c r="X3" s="284"/>
      <c r="Y3" s="145"/>
      <c r="AB3" s="284"/>
      <c r="AC3" s="145"/>
      <c r="AF3" s="284"/>
      <c r="AG3" s="145"/>
      <c r="AJ3" s="284"/>
      <c r="AK3" s="145"/>
      <c r="AN3" s="284"/>
      <c r="AO3" s="145"/>
      <c r="AR3" s="148"/>
      <c r="AS3" s="145"/>
    </row>
    <row r="4" spans="1:61" ht="21" x14ac:dyDescent="0.35">
      <c r="D4" s="57"/>
      <c r="E4" s="146"/>
      <c r="F4" s="146"/>
      <c r="G4" s="58"/>
      <c r="H4" s="57"/>
      <c r="I4" s="146"/>
      <c r="J4" s="146"/>
      <c r="K4" s="58"/>
      <c r="L4" s="57"/>
      <c r="M4" s="146"/>
      <c r="N4" s="146"/>
      <c r="O4" s="58"/>
      <c r="P4" s="57"/>
      <c r="Q4" s="146"/>
      <c r="R4" s="146"/>
      <c r="S4" s="58"/>
      <c r="T4" s="57"/>
      <c r="U4" s="146"/>
      <c r="V4" s="146"/>
      <c r="W4" s="58"/>
      <c r="X4" s="57"/>
      <c r="Y4" s="146"/>
      <c r="Z4" s="146"/>
      <c r="AA4" s="58"/>
      <c r="AB4" s="57"/>
      <c r="AC4" s="146"/>
      <c r="AD4" s="146"/>
      <c r="AE4" s="58"/>
      <c r="AF4" s="57"/>
      <c r="AG4" s="146"/>
      <c r="AH4" s="146"/>
      <c r="AI4" s="58"/>
      <c r="AJ4" s="57"/>
      <c r="AK4" s="146"/>
      <c r="AL4" s="146"/>
      <c r="AM4" s="58"/>
      <c r="AN4" s="57"/>
      <c r="AO4" s="146"/>
      <c r="AP4" s="146"/>
      <c r="AQ4" s="58"/>
      <c r="AR4" s="57"/>
      <c r="AS4" s="146"/>
      <c r="AT4" s="146"/>
      <c r="AU4" s="58"/>
    </row>
    <row r="5" spans="1:61" ht="21" x14ac:dyDescent="0.35">
      <c r="A5" s="498" t="s">
        <v>4</v>
      </c>
      <c r="B5" s="498"/>
      <c r="C5" s="227"/>
      <c r="D5" s="57"/>
      <c r="E5" s="146"/>
      <c r="F5" s="146"/>
      <c r="G5" s="58"/>
      <c r="H5" s="57"/>
      <c r="I5" s="146"/>
      <c r="J5" s="146"/>
      <c r="K5" s="58"/>
      <c r="L5" s="57"/>
      <c r="M5" s="146"/>
      <c r="N5" s="146"/>
      <c r="O5" s="58"/>
      <c r="P5" s="57"/>
      <c r="Q5" s="146"/>
      <c r="R5" s="146"/>
      <c r="S5" s="58"/>
      <c r="T5" s="57"/>
      <c r="U5" s="146"/>
      <c r="V5" s="146"/>
      <c r="W5" s="58"/>
      <c r="X5" s="57"/>
      <c r="Y5" s="146"/>
      <c r="Z5" s="146"/>
      <c r="AA5" s="58"/>
      <c r="AB5" s="57"/>
      <c r="AC5" s="146"/>
      <c r="AD5" s="146"/>
      <c r="AE5" s="58"/>
      <c r="AF5" s="57"/>
      <c r="AG5" s="146"/>
      <c r="AH5" s="146"/>
      <c r="AI5" s="58"/>
      <c r="AJ5" s="57"/>
      <c r="AK5" s="146"/>
      <c r="AL5" s="146"/>
      <c r="AM5" s="58"/>
      <c r="AN5" s="57"/>
      <c r="AO5" s="146"/>
      <c r="AP5" s="146"/>
      <c r="AQ5" s="58"/>
      <c r="AR5" s="57"/>
      <c r="AS5" s="146"/>
      <c r="AT5" s="146"/>
      <c r="AU5" s="58"/>
    </row>
    <row r="6" spans="1:61" ht="21" x14ac:dyDescent="0.35">
      <c r="A6" s="502" t="s">
        <v>351</v>
      </c>
      <c r="B6" s="502"/>
      <c r="C6" s="228"/>
      <c r="D6" s="57"/>
      <c r="E6" s="146"/>
      <c r="F6" s="146"/>
      <c r="G6" s="58"/>
      <c r="H6" s="57"/>
      <c r="I6" s="146"/>
      <c r="J6" s="146"/>
      <c r="K6" s="58"/>
      <c r="L6" s="57"/>
      <c r="M6" s="146"/>
      <c r="N6" s="146"/>
      <c r="O6" s="58"/>
      <c r="P6" s="57"/>
      <c r="Q6" s="146"/>
      <c r="R6" s="146"/>
      <c r="S6" s="58"/>
      <c r="T6" s="57"/>
      <c r="U6" s="146"/>
      <c r="V6" s="146"/>
      <c r="W6" s="58"/>
      <c r="X6" s="57"/>
      <c r="Y6" s="146"/>
      <c r="Z6" s="146"/>
      <c r="AA6" s="58"/>
      <c r="AB6" s="57"/>
      <c r="AC6" s="146"/>
      <c r="AD6" s="146"/>
      <c r="AE6" s="58"/>
      <c r="AF6" s="57"/>
      <c r="AG6" s="146"/>
      <c r="AH6" s="146"/>
      <c r="AI6" s="58"/>
      <c r="AJ6" s="57"/>
      <c r="AK6" s="146"/>
      <c r="AL6" s="146"/>
      <c r="AM6" s="58"/>
      <c r="AN6" s="57"/>
      <c r="AO6" s="146"/>
      <c r="AP6" s="146"/>
      <c r="AQ6" s="58"/>
      <c r="AR6" s="57"/>
      <c r="AS6" s="146"/>
      <c r="AT6" s="146"/>
      <c r="AU6" s="58"/>
    </row>
    <row r="7" spans="1:61" x14ac:dyDescent="0.25">
      <c r="A7" s="41"/>
    </row>
    <row r="8" spans="1:61" ht="21" x14ac:dyDescent="0.25">
      <c r="A8" s="41"/>
      <c r="D8" s="524">
        <f>+H8-366</f>
        <v>39447</v>
      </c>
      <c r="E8" s="525" t="e">
        <f>+'Page 1. Company Information'!#REF!</f>
        <v>#REF!</v>
      </c>
      <c r="F8" s="525" t="e">
        <f>+'Page 1. Company Information'!#REF!</f>
        <v>#REF!</v>
      </c>
      <c r="G8" s="525" t="e">
        <f>+'Page 1. Company Information'!#REF!</f>
        <v>#REF!</v>
      </c>
      <c r="H8" s="525">
        <f>+L8-365</f>
        <v>39813</v>
      </c>
      <c r="I8" s="525" t="e">
        <f>+'Page 1. Company Information'!#REF!</f>
        <v>#REF!</v>
      </c>
      <c r="J8" s="525" t="e">
        <f>+'Page 1. Company Information'!#REF!</f>
        <v>#REF!</v>
      </c>
      <c r="K8" s="525" t="e">
        <f>+'Page 1. Company Information'!#REF!</f>
        <v>#REF!</v>
      </c>
      <c r="L8" s="525">
        <f>+P8-365</f>
        <v>40178</v>
      </c>
      <c r="M8" s="525" t="e">
        <f>+'Page 1. Company Information'!#REF!</f>
        <v>#REF!</v>
      </c>
      <c r="N8" s="525" t="e">
        <f>+'Page 1. Company Information'!#REF!</f>
        <v>#REF!</v>
      </c>
      <c r="O8" s="525" t="e">
        <f>+'Page 1. Company Information'!#REF!</f>
        <v>#REF!</v>
      </c>
      <c r="P8" s="525">
        <f>+T8-365</f>
        <v>40543</v>
      </c>
      <c r="Q8" s="525" t="e">
        <f>+'Page 1. Company Information'!#REF!</f>
        <v>#REF!</v>
      </c>
      <c r="R8" s="525" t="e">
        <f>+'Page 1. Company Information'!#REF!</f>
        <v>#REF!</v>
      </c>
      <c r="S8" s="525" t="e">
        <f>+'Page 1. Company Information'!#REF!</f>
        <v>#REF!</v>
      </c>
      <c r="T8" s="525">
        <f>+X8-366</f>
        <v>40908</v>
      </c>
      <c r="U8" s="525" t="e">
        <f>+'Page 1. Company Information'!#REF!</f>
        <v>#REF!</v>
      </c>
      <c r="V8" s="525" t="e">
        <f>+'Page 1. Company Information'!#REF!</f>
        <v>#REF!</v>
      </c>
      <c r="W8" s="525" t="e">
        <f>+'Page 1. Company Information'!#REF!</f>
        <v>#REF!</v>
      </c>
      <c r="X8" s="525">
        <f>+AB8-365</f>
        <v>41274</v>
      </c>
      <c r="Y8" s="525" t="e">
        <f>+'Page 1. Company Information'!#REF!</f>
        <v>#REF!</v>
      </c>
      <c r="Z8" s="525" t="e">
        <f>+'Page 1. Company Information'!#REF!</f>
        <v>#REF!</v>
      </c>
      <c r="AA8" s="525" t="e">
        <f>+'Page 1. Company Information'!#REF!</f>
        <v>#REF!</v>
      </c>
      <c r="AB8" s="525">
        <f>+AF8-365</f>
        <v>41639</v>
      </c>
      <c r="AC8" s="525" t="e">
        <f>+'Page 1. Company Information'!#REF!</f>
        <v>#REF!</v>
      </c>
      <c r="AD8" s="525" t="e">
        <f>+'Page 1. Company Information'!#REF!</f>
        <v>#REF!</v>
      </c>
      <c r="AE8" s="525" t="e">
        <f>+'Page 1. Company Information'!#REF!</f>
        <v>#REF!</v>
      </c>
      <c r="AF8" s="525">
        <f>+AJ8-365</f>
        <v>42004</v>
      </c>
      <c r="AG8" s="525" t="e">
        <f>+'Page 1. Company Information'!#REF!</f>
        <v>#REF!</v>
      </c>
      <c r="AH8" s="525" t="e">
        <f>+'Page 1. Company Information'!#REF!</f>
        <v>#REF!</v>
      </c>
      <c r="AI8" s="525" t="e">
        <f>+'Page 1. Company Information'!#REF!</f>
        <v>#REF!</v>
      </c>
      <c r="AJ8" s="525">
        <f>+AN8-366</f>
        <v>42369</v>
      </c>
      <c r="AK8" s="525" t="e">
        <f>+'Page 1. Company Information'!#REF!</f>
        <v>#REF!</v>
      </c>
      <c r="AL8" s="525" t="e">
        <f>+'Page 1. Company Information'!#REF!</f>
        <v>#REF!</v>
      </c>
      <c r="AM8" s="525" t="e">
        <f>+'Page 1. Company Information'!#REF!</f>
        <v>#REF!</v>
      </c>
      <c r="AN8" s="525">
        <f>+AR8-365</f>
        <v>42735</v>
      </c>
      <c r="AO8" s="525">
        <f>+'Page 1. Company Information'!B3</f>
        <v>43100</v>
      </c>
      <c r="AP8" s="525">
        <f>+'Page 1. Company Information'!C3</f>
        <v>0</v>
      </c>
      <c r="AQ8" s="525">
        <f>+'Page 1. Company Information'!D3</f>
        <v>0</v>
      </c>
      <c r="AR8" s="525">
        <f>+'Page 1. Company Information'!B3</f>
        <v>43100</v>
      </c>
      <c r="AS8" s="525">
        <f>+'Page 1. Company Information'!F3</f>
        <v>0</v>
      </c>
      <c r="AT8" s="525">
        <f>+'Page 1. Company Information'!G3</f>
        <v>0</v>
      </c>
      <c r="AU8" s="526">
        <f>+'Page 1. Company Information'!H3</f>
        <v>0</v>
      </c>
    </row>
    <row r="9" spans="1:61" s="51" customFormat="1" ht="45" customHeight="1" x14ac:dyDescent="0.25">
      <c r="A9" s="507" t="s">
        <v>243</v>
      </c>
      <c r="B9" s="508"/>
      <c r="C9" s="60" t="s">
        <v>124</v>
      </c>
      <c r="D9" s="61" t="s">
        <v>211</v>
      </c>
      <c r="E9" s="61" t="s">
        <v>112</v>
      </c>
      <c r="F9" s="61" t="s">
        <v>14</v>
      </c>
      <c r="G9" s="61" t="s">
        <v>63</v>
      </c>
      <c r="H9" s="61" t="s">
        <v>211</v>
      </c>
      <c r="I9" s="61" t="s">
        <v>112</v>
      </c>
      <c r="J9" s="61" t="s">
        <v>14</v>
      </c>
      <c r="K9" s="61" t="s">
        <v>63</v>
      </c>
      <c r="L9" s="61" t="s">
        <v>211</v>
      </c>
      <c r="M9" s="61" t="s">
        <v>112</v>
      </c>
      <c r="N9" s="61" t="s">
        <v>14</v>
      </c>
      <c r="O9" s="61" t="s">
        <v>63</v>
      </c>
      <c r="P9" s="61" t="s">
        <v>211</v>
      </c>
      <c r="Q9" s="61" t="s">
        <v>112</v>
      </c>
      <c r="R9" s="61" t="s">
        <v>14</v>
      </c>
      <c r="S9" s="61" t="s">
        <v>63</v>
      </c>
      <c r="T9" s="61" t="s">
        <v>211</v>
      </c>
      <c r="U9" s="61" t="s">
        <v>112</v>
      </c>
      <c r="V9" s="61" t="s">
        <v>14</v>
      </c>
      <c r="W9" s="61" t="s">
        <v>63</v>
      </c>
      <c r="X9" s="61" t="s">
        <v>211</v>
      </c>
      <c r="Y9" s="61" t="s">
        <v>112</v>
      </c>
      <c r="Z9" s="61" t="s">
        <v>14</v>
      </c>
      <c r="AA9" s="61" t="s">
        <v>63</v>
      </c>
      <c r="AB9" s="61" t="s">
        <v>211</v>
      </c>
      <c r="AC9" s="61" t="s">
        <v>112</v>
      </c>
      <c r="AD9" s="61" t="s">
        <v>14</v>
      </c>
      <c r="AE9" s="61" t="s">
        <v>63</v>
      </c>
      <c r="AF9" s="61" t="s">
        <v>211</v>
      </c>
      <c r="AG9" s="61" t="s">
        <v>112</v>
      </c>
      <c r="AH9" s="61" t="s">
        <v>14</v>
      </c>
      <c r="AI9" s="61" t="s">
        <v>63</v>
      </c>
      <c r="AJ9" s="61" t="s">
        <v>211</v>
      </c>
      <c r="AK9" s="61" t="s">
        <v>112</v>
      </c>
      <c r="AL9" s="61" t="s">
        <v>14</v>
      </c>
      <c r="AM9" s="61" t="s">
        <v>63</v>
      </c>
      <c r="AN9" s="61" t="s">
        <v>211</v>
      </c>
      <c r="AO9" s="61" t="s">
        <v>112</v>
      </c>
      <c r="AP9" s="61" t="s">
        <v>14</v>
      </c>
      <c r="AQ9" s="61" t="s">
        <v>63</v>
      </c>
      <c r="AR9" s="61" t="s">
        <v>211</v>
      </c>
      <c r="AS9" s="61" t="s">
        <v>112</v>
      </c>
      <c r="AT9" s="61" t="s">
        <v>14</v>
      </c>
      <c r="AU9" s="61" t="s">
        <v>63</v>
      </c>
      <c r="BF9" s="41"/>
      <c r="BG9" s="141"/>
    </row>
    <row r="10" spans="1:61" ht="14.45" customHeight="1" x14ac:dyDescent="0.25">
      <c r="A10" s="529" t="s">
        <v>109</v>
      </c>
      <c r="B10" s="530"/>
      <c r="C10" s="541" t="s">
        <v>205</v>
      </c>
      <c r="D10" s="235">
        <v>0</v>
      </c>
      <c r="E10" s="372" t="s">
        <v>107</v>
      </c>
      <c r="F10" s="373">
        <f>IF(ISBLANK($A10),0,IF(E10="no",0,VLOOKUP($A10,'CAPEX Categories'!$A$2:$C$18,3,FALSE)))</f>
        <v>1</v>
      </c>
      <c r="G10" s="53">
        <f t="shared" ref="G10:G51" si="0">+D10*F10</f>
        <v>0</v>
      </c>
      <c r="H10" s="235">
        <v>0</v>
      </c>
      <c r="I10" s="372" t="s">
        <v>107</v>
      </c>
      <c r="J10" s="373">
        <f>IF(ISBLANK($A10),0,IF(I10="no",0,VLOOKUP($A10,'CAPEX Categories'!$A$2:$C$18,3,FALSE)))</f>
        <v>1</v>
      </c>
      <c r="K10" s="53">
        <f t="shared" ref="K10:K51" si="1">+H10*J10</f>
        <v>0</v>
      </c>
      <c r="L10" s="235">
        <v>0</v>
      </c>
      <c r="M10" s="372" t="s">
        <v>107</v>
      </c>
      <c r="N10" s="373">
        <f>IF(ISBLANK($A10),0,IF(M10="no",0,VLOOKUP($A10,'CAPEX Categories'!$A$2:$C$18,3,FALSE)))</f>
        <v>1</v>
      </c>
      <c r="O10" s="53">
        <f t="shared" ref="O10:O51" si="2">+L10*N10</f>
        <v>0</v>
      </c>
      <c r="P10" s="235">
        <v>0</v>
      </c>
      <c r="Q10" s="372" t="s">
        <v>107</v>
      </c>
      <c r="R10" s="373">
        <f>IF(ISBLANK($A10),0,IF(Q10="no",0,VLOOKUP($A10,'CAPEX Categories'!$A$2:$C$18,3,FALSE)))</f>
        <v>1</v>
      </c>
      <c r="S10" s="53">
        <f t="shared" ref="S10:S51" si="3">+P10*R10</f>
        <v>0</v>
      </c>
      <c r="T10" s="235">
        <v>0</v>
      </c>
      <c r="U10" s="372" t="s">
        <v>107</v>
      </c>
      <c r="V10" s="373">
        <f>IF(ISBLANK($A10),0,IF(U10="no",0,VLOOKUP($A10,'CAPEX Categories'!$A$2:$C$18,3,FALSE)))</f>
        <v>1</v>
      </c>
      <c r="W10" s="53">
        <f t="shared" ref="W10:W51" si="4">+T10*V10</f>
        <v>0</v>
      </c>
      <c r="X10" s="235">
        <v>0</v>
      </c>
      <c r="Y10" s="372" t="s">
        <v>107</v>
      </c>
      <c r="Z10" s="373">
        <f>IF(ISBLANK($A10),0,IF(Y10="no",0,VLOOKUP($A10,'CAPEX Categories'!$A$2:$C$18,3,FALSE)))</f>
        <v>1</v>
      </c>
      <c r="AA10" s="53">
        <f t="shared" ref="AA10:AA51" si="5">+X10*Z10</f>
        <v>0</v>
      </c>
      <c r="AB10" s="235">
        <v>0</v>
      </c>
      <c r="AC10" s="372" t="s">
        <v>107</v>
      </c>
      <c r="AD10" s="373">
        <f>IF(ISBLANK($A10),0,IF(AC10="no",0,VLOOKUP($A10,'CAPEX Categories'!$A$2:$C$18,3,FALSE)))</f>
        <v>1</v>
      </c>
      <c r="AE10" s="53">
        <f t="shared" ref="AE10:AE51" si="6">+AB10*AD10</f>
        <v>0</v>
      </c>
      <c r="AF10" s="235">
        <v>0</v>
      </c>
      <c r="AG10" s="372" t="s">
        <v>107</v>
      </c>
      <c r="AH10" s="373">
        <f>IF(ISBLANK($A10),0,IF(AG10="no",0,VLOOKUP($A10,'CAPEX Categories'!$A$2:$C$18,3,FALSE)))</f>
        <v>1</v>
      </c>
      <c r="AI10" s="53">
        <f t="shared" ref="AI10:AI51" si="7">+AF10*AH10</f>
        <v>0</v>
      </c>
      <c r="AJ10" s="235">
        <v>0</v>
      </c>
      <c r="AK10" s="372" t="s">
        <v>107</v>
      </c>
      <c r="AL10" s="373">
        <f>IF(ISBLANK($A10),0,IF(AK10="no",0,VLOOKUP($A10,'CAPEX Categories'!$A$2:$C$18,3,FALSE)))</f>
        <v>1</v>
      </c>
      <c r="AM10" s="53">
        <f t="shared" ref="AM10:AM51" si="8">+AJ10*AL10</f>
        <v>0</v>
      </c>
      <c r="AN10" s="235">
        <v>0</v>
      </c>
      <c r="AO10" s="372" t="s">
        <v>107</v>
      </c>
      <c r="AP10" s="373">
        <f>IF(ISBLANK($A10),0,IF(AO10="no",0,VLOOKUP($A10,'CAPEX Categories'!$A$2:$C$18,3,FALSE)))</f>
        <v>1</v>
      </c>
      <c r="AQ10" s="53">
        <f t="shared" ref="AQ10:AQ51" si="9">+AN10*AP10</f>
        <v>0</v>
      </c>
      <c r="AR10" s="235">
        <v>0</v>
      </c>
      <c r="AS10" s="372" t="s">
        <v>107</v>
      </c>
      <c r="AT10" s="373">
        <f>IF(ISBLANK($A10),0,IF(AS10="no",0,VLOOKUP($A10,'CAPEX Categories'!$A$2:$C$18,3,FALSE)))</f>
        <v>1</v>
      </c>
      <c r="AU10" s="53">
        <f t="shared" ref="AU10:AU51" si="10">+AR10*AT10</f>
        <v>0</v>
      </c>
      <c r="AV10" s="51"/>
      <c r="AW10" s="51"/>
      <c r="AX10" s="51"/>
      <c r="BA10" s="41" t="s">
        <v>103</v>
      </c>
      <c r="BG10" s="141"/>
    </row>
    <row r="11" spans="1:61" ht="14.45" customHeight="1" x14ac:dyDescent="0.25">
      <c r="A11" s="531"/>
      <c r="B11" s="532"/>
      <c r="C11" s="542"/>
      <c r="D11" s="236">
        <v>0</v>
      </c>
      <c r="E11" s="374" t="s">
        <v>106</v>
      </c>
      <c r="F11" s="375">
        <f>IF(ISBLANK($A11),0,IF(E11="no",0,VLOOKUP($A11,'CAPEX Categories'!$A$2:$C$18,3,FALSE)))</f>
        <v>0</v>
      </c>
      <c r="G11" s="54">
        <f t="shared" si="0"/>
        <v>0</v>
      </c>
      <c r="H11" s="236">
        <v>0</v>
      </c>
      <c r="I11" s="374" t="s">
        <v>106</v>
      </c>
      <c r="J11" s="375">
        <f>IF(ISBLANK($A11),0,IF(I11="no",0,VLOOKUP($A11,'CAPEX Categories'!$A$2:$C$18,3,FALSE)))</f>
        <v>0</v>
      </c>
      <c r="K11" s="54">
        <f t="shared" si="1"/>
        <v>0</v>
      </c>
      <c r="L11" s="236">
        <v>0</v>
      </c>
      <c r="M11" s="374" t="s">
        <v>106</v>
      </c>
      <c r="N11" s="375">
        <f>IF(ISBLANK($A11),0,IF(M11="no",0,VLOOKUP($A11,'CAPEX Categories'!$A$2:$C$18,3,FALSE)))</f>
        <v>0</v>
      </c>
      <c r="O11" s="54">
        <f t="shared" si="2"/>
        <v>0</v>
      </c>
      <c r="P11" s="236">
        <v>0</v>
      </c>
      <c r="Q11" s="374" t="s">
        <v>106</v>
      </c>
      <c r="R11" s="375">
        <f>IF(ISBLANK($A11),0,IF(Q11="no",0,VLOOKUP($A11,'CAPEX Categories'!$A$2:$C$18,3,FALSE)))</f>
        <v>0</v>
      </c>
      <c r="S11" s="54">
        <f t="shared" si="3"/>
        <v>0</v>
      </c>
      <c r="T11" s="236">
        <v>0</v>
      </c>
      <c r="U11" s="374" t="s">
        <v>106</v>
      </c>
      <c r="V11" s="375">
        <f>IF(ISBLANK($A11),0,IF(U11="no",0,VLOOKUP($A11,'CAPEX Categories'!$A$2:$C$18,3,FALSE)))</f>
        <v>0</v>
      </c>
      <c r="W11" s="54">
        <f t="shared" si="4"/>
        <v>0</v>
      </c>
      <c r="X11" s="236">
        <v>0</v>
      </c>
      <c r="Y11" s="374" t="s">
        <v>106</v>
      </c>
      <c r="Z11" s="375">
        <f>IF(ISBLANK($A11),0,IF(Y11="no",0,VLOOKUP($A11,'CAPEX Categories'!$A$2:$C$18,3,FALSE)))</f>
        <v>0</v>
      </c>
      <c r="AA11" s="54">
        <f t="shared" si="5"/>
        <v>0</v>
      </c>
      <c r="AB11" s="236">
        <v>0</v>
      </c>
      <c r="AC11" s="374" t="s">
        <v>106</v>
      </c>
      <c r="AD11" s="375">
        <f>IF(ISBLANK($A11),0,IF(AC11="no",0,VLOOKUP($A11,'CAPEX Categories'!$A$2:$C$18,3,FALSE)))</f>
        <v>0</v>
      </c>
      <c r="AE11" s="54">
        <f t="shared" si="6"/>
        <v>0</v>
      </c>
      <c r="AF11" s="236">
        <v>0</v>
      </c>
      <c r="AG11" s="374" t="s">
        <v>106</v>
      </c>
      <c r="AH11" s="375">
        <f>IF(ISBLANK($A11),0,IF(AG11="no",0,VLOOKUP($A11,'CAPEX Categories'!$A$2:$C$18,3,FALSE)))</f>
        <v>0</v>
      </c>
      <c r="AI11" s="54">
        <f t="shared" si="7"/>
        <v>0</v>
      </c>
      <c r="AJ11" s="236">
        <v>0</v>
      </c>
      <c r="AK11" s="374" t="s">
        <v>106</v>
      </c>
      <c r="AL11" s="375">
        <f>IF(ISBLANK($A11),0,IF(AK11="no",0,VLOOKUP($A11,'CAPEX Categories'!$A$2:$C$18,3,FALSE)))</f>
        <v>0</v>
      </c>
      <c r="AM11" s="54">
        <f t="shared" si="8"/>
        <v>0</v>
      </c>
      <c r="AN11" s="236">
        <v>0</v>
      </c>
      <c r="AO11" s="374" t="s">
        <v>106</v>
      </c>
      <c r="AP11" s="375">
        <f>IF(ISBLANK($A11),0,IF(AO11="no",0,VLOOKUP($A11,'CAPEX Categories'!$A$2:$C$18,3,FALSE)))</f>
        <v>0</v>
      </c>
      <c r="AQ11" s="54">
        <f t="shared" si="9"/>
        <v>0</v>
      </c>
      <c r="AR11" s="236">
        <v>0</v>
      </c>
      <c r="AS11" s="374" t="s">
        <v>106</v>
      </c>
      <c r="AT11" s="375">
        <f>IF(ISBLANK(A11),0,IF(AS11="no",0,VLOOKUP(A11,'CAPEX Categories'!$A$2:$C$18,3,FALSE)))</f>
        <v>0</v>
      </c>
      <c r="AU11" s="54">
        <f t="shared" si="10"/>
        <v>0</v>
      </c>
      <c r="AV11" s="51"/>
      <c r="AW11" s="51"/>
      <c r="AX11" s="51"/>
      <c r="BG11" s="141"/>
    </row>
    <row r="12" spans="1:61" ht="14.45" customHeight="1" x14ac:dyDescent="0.25">
      <c r="A12" s="533" t="s">
        <v>131</v>
      </c>
      <c r="B12" s="534"/>
      <c r="C12" s="539" t="s">
        <v>161</v>
      </c>
      <c r="D12" s="235">
        <v>0</v>
      </c>
      <c r="E12" s="372" t="s">
        <v>107</v>
      </c>
      <c r="F12" s="373">
        <f>IF(ISBLANK($A12),0,IF(E12="no",0,VLOOKUP($A12,'CAPEX Categories'!$A$2:$C$18,3,FALSE)))</f>
        <v>0.45</v>
      </c>
      <c r="G12" s="53">
        <f t="shared" si="0"/>
        <v>0</v>
      </c>
      <c r="H12" s="235">
        <v>0</v>
      </c>
      <c r="I12" s="372" t="s">
        <v>107</v>
      </c>
      <c r="J12" s="373">
        <f>IF(ISBLANK($A12),0,IF(I12="no",0,VLOOKUP($A12,'CAPEX Categories'!$A$2:$C$18,3,FALSE)))</f>
        <v>0.45</v>
      </c>
      <c r="K12" s="53">
        <f t="shared" si="1"/>
        <v>0</v>
      </c>
      <c r="L12" s="235">
        <v>0</v>
      </c>
      <c r="M12" s="372" t="s">
        <v>107</v>
      </c>
      <c r="N12" s="373">
        <f>IF(ISBLANK($A12),0,IF(M12="no",0,VLOOKUP($A12,'CAPEX Categories'!$A$2:$C$18,3,FALSE)))</f>
        <v>0.45</v>
      </c>
      <c r="O12" s="53">
        <f t="shared" si="2"/>
        <v>0</v>
      </c>
      <c r="P12" s="235">
        <v>0</v>
      </c>
      <c r="Q12" s="372" t="s">
        <v>107</v>
      </c>
      <c r="R12" s="373">
        <f>IF(ISBLANK($A12),0,IF(Q12="no",0,VLOOKUP($A12,'CAPEX Categories'!$A$2:$C$18,3,FALSE)))</f>
        <v>0.45</v>
      </c>
      <c r="S12" s="53">
        <f t="shared" si="3"/>
        <v>0</v>
      </c>
      <c r="T12" s="235">
        <v>0</v>
      </c>
      <c r="U12" s="372" t="s">
        <v>107</v>
      </c>
      <c r="V12" s="373">
        <f>IF(ISBLANK($A12),0,IF(U12="no",0,VLOOKUP($A12,'CAPEX Categories'!$A$2:$C$18,3,FALSE)))</f>
        <v>0.45</v>
      </c>
      <c r="W12" s="53">
        <f t="shared" si="4"/>
        <v>0</v>
      </c>
      <c r="X12" s="235">
        <v>0</v>
      </c>
      <c r="Y12" s="372" t="s">
        <v>107</v>
      </c>
      <c r="Z12" s="373">
        <f>IF(ISBLANK($A12),0,IF(Y12="no",0,VLOOKUP($A12,'CAPEX Categories'!$A$2:$C$18,3,FALSE)))</f>
        <v>0.45</v>
      </c>
      <c r="AA12" s="53">
        <f t="shared" si="5"/>
        <v>0</v>
      </c>
      <c r="AB12" s="235">
        <v>0</v>
      </c>
      <c r="AC12" s="372" t="s">
        <v>107</v>
      </c>
      <c r="AD12" s="373">
        <f>IF(ISBLANK($A12),0,IF(AC12="no",0,VLOOKUP($A12,'CAPEX Categories'!$A$2:$C$18,3,FALSE)))</f>
        <v>0.45</v>
      </c>
      <c r="AE12" s="53">
        <f t="shared" si="6"/>
        <v>0</v>
      </c>
      <c r="AF12" s="235">
        <v>0</v>
      </c>
      <c r="AG12" s="372" t="s">
        <v>107</v>
      </c>
      <c r="AH12" s="373">
        <f>IF(ISBLANK($A12),0,IF(AG12="no",0,VLOOKUP($A12,'CAPEX Categories'!$A$2:$C$18,3,FALSE)))</f>
        <v>0.45</v>
      </c>
      <c r="AI12" s="53">
        <f t="shared" si="7"/>
        <v>0</v>
      </c>
      <c r="AJ12" s="235">
        <v>0</v>
      </c>
      <c r="AK12" s="372" t="s">
        <v>107</v>
      </c>
      <c r="AL12" s="373">
        <f>IF(ISBLANK($A12),0,IF(AK12="no",0,VLOOKUP($A12,'CAPEX Categories'!$A$2:$C$18,3,FALSE)))</f>
        <v>0.45</v>
      </c>
      <c r="AM12" s="53">
        <f t="shared" si="8"/>
        <v>0</v>
      </c>
      <c r="AN12" s="235">
        <v>0</v>
      </c>
      <c r="AO12" s="372" t="s">
        <v>107</v>
      </c>
      <c r="AP12" s="373">
        <f>IF(ISBLANK($A12),0,IF(AO12="no",0,VLOOKUP($A12,'CAPEX Categories'!$A$2:$C$18,3,FALSE)))</f>
        <v>0.45</v>
      </c>
      <c r="AQ12" s="53">
        <f t="shared" si="9"/>
        <v>0</v>
      </c>
      <c r="AR12" s="235">
        <v>0</v>
      </c>
      <c r="AS12" s="372" t="s">
        <v>107</v>
      </c>
      <c r="AT12" s="373">
        <f>IF(ISBLANK(A12),0,IF(AS12="no",0,VLOOKUP(A12,'CAPEX Categories'!$A$2:$C$18,3,FALSE)))</f>
        <v>0.45</v>
      </c>
      <c r="AU12" s="53">
        <f t="shared" si="10"/>
        <v>0</v>
      </c>
      <c r="AV12" s="51"/>
      <c r="AW12" s="51"/>
      <c r="AX12" s="51"/>
      <c r="BG12" s="141"/>
    </row>
    <row r="13" spans="1:61" ht="14.45" customHeight="1" x14ac:dyDescent="0.25">
      <c r="A13" s="535"/>
      <c r="B13" s="536"/>
      <c r="C13" s="540"/>
      <c r="D13" s="236">
        <v>0</v>
      </c>
      <c r="E13" s="374" t="s">
        <v>106</v>
      </c>
      <c r="F13" s="375">
        <f>IF(ISBLANK($A13),0,IF(E13="no",0,VLOOKUP($A13,'CAPEX Categories'!$A$2:$C$18,3,FALSE)))</f>
        <v>0</v>
      </c>
      <c r="G13" s="54">
        <f t="shared" si="0"/>
        <v>0</v>
      </c>
      <c r="H13" s="236">
        <v>0</v>
      </c>
      <c r="I13" s="374" t="s">
        <v>106</v>
      </c>
      <c r="J13" s="375">
        <f>IF(ISBLANK($A13),0,IF(I13="no",0,VLOOKUP($A13,'CAPEX Categories'!$A$2:$C$18,3,FALSE)))</f>
        <v>0</v>
      </c>
      <c r="K13" s="54">
        <f t="shared" si="1"/>
        <v>0</v>
      </c>
      <c r="L13" s="236">
        <v>0</v>
      </c>
      <c r="M13" s="374" t="s">
        <v>106</v>
      </c>
      <c r="N13" s="375">
        <f>IF(ISBLANK($A13),0,IF(M13="no",0,VLOOKUP($A13,'CAPEX Categories'!$A$2:$C$18,3,FALSE)))</f>
        <v>0</v>
      </c>
      <c r="O13" s="54">
        <f t="shared" si="2"/>
        <v>0</v>
      </c>
      <c r="P13" s="236">
        <v>0</v>
      </c>
      <c r="Q13" s="374" t="s">
        <v>106</v>
      </c>
      <c r="R13" s="375">
        <f>IF(ISBLANK($A13),0,IF(Q13="no",0,VLOOKUP($A13,'CAPEX Categories'!$A$2:$C$18,3,FALSE)))</f>
        <v>0</v>
      </c>
      <c r="S13" s="54">
        <f t="shared" si="3"/>
        <v>0</v>
      </c>
      <c r="T13" s="236">
        <v>0</v>
      </c>
      <c r="U13" s="374" t="s">
        <v>106</v>
      </c>
      <c r="V13" s="375">
        <f>IF(ISBLANK($A13),0,IF(U13="no",0,VLOOKUP($A13,'CAPEX Categories'!$A$2:$C$18,3,FALSE)))</f>
        <v>0</v>
      </c>
      <c r="W13" s="54">
        <f t="shared" si="4"/>
        <v>0</v>
      </c>
      <c r="X13" s="236">
        <v>0</v>
      </c>
      <c r="Y13" s="374" t="s">
        <v>106</v>
      </c>
      <c r="Z13" s="375">
        <f>IF(ISBLANK($A13),0,IF(Y13="no",0,VLOOKUP($A13,'CAPEX Categories'!$A$2:$C$18,3,FALSE)))</f>
        <v>0</v>
      </c>
      <c r="AA13" s="54">
        <f t="shared" si="5"/>
        <v>0</v>
      </c>
      <c r="AB13" s="236">
        <v>0</v>
      </c>
      <c r="AC13" s="374" t="s">
        <v>106</v>
      </c>
      <c r="AD13" s="375">
        <f>IF(ISBLANK($A13),0,IF(AC13="no",0,VLOOKUP($A13,'CAPEX Categories'!$A$2:$C$18,3,FALSE)))</f>
        <v>0</v>
      </c>
      <c r="AE13" s="54">
        <f t="shared" si="6"/>
        <v>0</v>
      </c>
      <c r="AF13" s="236">
        <v>0</v>
      </c>
      <c r="AG13" s="374" t="s">
        <v>106</v>
      </c>
      <c r="AH13" s="375">
        <f>IF(ISBLANK($A13),0,IF(AG13="no",0,VLOOKUP($A13,'CAPEX Categories'!$A$2:$C$18,3,FALSE)))</f>
        <v>0</v>
      </c>
      <c r="AI13" s="54">
        <f t="shared" si="7"/>
        <v>0</v>
      </c>
      <c r="AJ13" s="236">
        <v>0</v>
      </c>
      <c r="AK13" s="374" t="s">
        <v>106</v>
      </c>
      <c r="AL13" s="375">
        <f>IF(ISBLANK($A13),0,IF(AK13="no",0,VLOOKUP($A13,'CAPEX Categories'!$A$2:$C$18,3,FALSE)))</f>
        <v>0</v>
      </c>
      <c r="AM13" s="54">
        <f t="shared" si="8"/>
        <v>0</v>
      </c>
      <c r="AN13" s="236">
        <v>0</v>
      </c>
      <c r="AO13" s="374" t="s">
        <v>106</v>
      </c>
      <c r="AP13" s="375">
        <f>IF(ISBLANK($A13),0,IF(AO13="no",0,VLOOKUP($A13,'CAPEX Categories'!$A$2:$C$18,3,FALSE)))</f>
        <v>0</v>
      </c>
      <c r="AQ13" s="54">
        <f t="shared" si="9"/>
        <v>0</v>
      </c>
      <c r="AR13" s="236">
        <v>0</v>
      </c>
      <c r="AS13" s="374" t="s">
        <v>106</v>
      </c>
      <c r="AT13" s="375">
        <f>IF(ISBLANK(A13),0,IF(AS13="no",0,VLOOKUP(A13,'CAPEX Categories'!$A$2:$C$18,3,FALSE)))</f>
        <v>0</v>
      </c>
      <c r="AU13" s="54">
        <f t="shared" si="10"/>
        <v>0</v>
      </c>
      <c r="AV13" s="51"/>
      <c r="AW13" s="51"/>
      <c r="AX13" s="51"/>
      <c r="BG13" s="141"/>
    </row>
    <row r="14" spans="1:61" ht="14.45" customHeight="1" x14ac:dyDescent="0.25">
      <c r="A14" s="529" t="s">
        <v>111</v>
      </c>
      <c r="B14" s="530"/>
      <c r="C14" s="543" t="s">
        <v>162</v>
      </c>
      <c r="D14" s="235">
        <v>0</v>
      </c>
      <c r="E14" s="372" t="s">
        <v>107</v>
      </c>
      <c r="F14" s="373">
        <f>IF(ISBLANK($A14),0,IF(E14="no",0,VLOOKUP($A14,'CAPEX Categories'!$A$2:$C$18,3,FALSE)))</f>
        <v>0.4</v>
      </c>
      <c r="G14" s="53">
        <f t="shared" si="0"/>
        <v>0</v>
      </c>
      <c r="H14" s="235">
        <v>0</v>
      </c>
      <c r="I14" s="372" t="s">
        <v>107</v>
      </c>
      <c r="J14" s="373">
        <f>IF(ISBLANK($A14),0,IF(I14="no",0,VLOOKUP($A14,'CAPEX Categories'!$A$2:$C$18,3,FALSE)))</f>
        <v>0.4</v>
      </c>
      <c r="K14" s="53">
        <f t="shared" si="1"/>
        <v>0</v>
      </c>
      <c r="L14" s="235">
        <v>0</v>
      </c>
      <c r="M14" s="372" t="s">
        <v>107</v>
      </c>
      <c r="N14" s="373">
        <f>IF(ISBLANK($A14),0,IF(M14="no",0,VLOOKUP($A14,'CAPEX Categories'!$A$2:$C$18,3,FALSE)))</f>
        <v>0.4</v>
      </c>
      <c r="O14" s="53">
        <f t="shared" si="2"/>
        <v>0</v>
      </c>
      <c r="P14" s="235">
        <v>0</v>
      </c>
      <c r="Q14" s="372" t="s">
        <v>107</v>
      </c>
      <c r="R14" s="373">
        <f>IF(ISBLANK($A14),0,IF(Q14="no",0,VLOOKUP($A14,'CAPEX Categories'!$A$2:$C$18,3,FALSE)))</f>
        <v>0.4</v>
      </c>
      <c r="S14" s="53">
        <f t="shared" si="3"/>
        <v>0</v>
      </c>
      <c r="T14" s="235">
        <v>0</v>
      </c>
      <c r="U14" s="372" t="s">
        <v>107</v>
      </c>
      <c r="V14" s="373">
        <f>IF(ISBLANK($A14),0,IF(U14="no",0,VLOOKUP($A14,'CAPEX Categories'!$A$2:$C$18,3,FALSE)))</f>
        <v>0.4</v>
      </c>
      <c r="W14" s="53">
        <f t="shared" si="4"/>
        <v>0</v>
      </c>
      <c r="X14" s="235">
        <v>0</v>
      </c>
      <c r="Y14" s="372" t="s">
        <v>107</v>
      </c>
      <c r="Z14" s="373">
        <f>IF(ISBLANK($A14),0,IF(Y14="no",0,VLOOKUP($A14,'CAPEX Categories'!$A$2:$C$18,3,FALSE)))</f>
        <v>0.4</v>
      </c>
      <c r="AA14" s="53">
        <f t="shared" si="5"/>
        <v>0</v>
      </c>
      <c r="AB14" s="235">
        <v>0</v>
      </c>
      <c r="AC14" s="372" t="s">
        <v>107</v>
      </c>
      <c r="AD14" s="373">
        <f>IF(ISBLANK($A14),0,IF(AC14="no",0,VLOOKUP($A14,'CAPEX Categories'!$A$2:$C$18,3,FALSE)))</f>
        <v>0.4</v>
      </c>
      <c r="AE14" s="53">
        <f t="shared" si="6"/>
        <v>0</v>
      </c>
      <c r="AF14" s="235">
        <v>0</v>
      </c>
      <c r="AG14" s="372" t="s">
        <v>107</v>
      </c>
      <c r="AH14" s="373">
        <f>IF(ISBLANK($A14),0,IF(AG14="no",0,VLOOKUP($A14,'CAPEX Categories'!$A$2:$C$18,3,FALSE)))</f>
        <v>0.4</v>
      </c>
      <c r="AI14" s="53">
        <f t="shared" si="7"/>
        <v>0</v>
      </c>
      <c r="AJ14" s="235">
        <v>0</v>
      </c>
      <c r="AK14" s="372" t="s">
        <v>107</v>
      </c>
      <c r="AL14" s="373">
        <f>IF(ISBLANK($A14),0,IF(AK14="no",0,VLOOKUP($A14,'CAPEX Categories'!$A$2:$C$18,3,FALSE)))</f>
        <v>0.4</v>
      </c>
      <c r="AM14" s="53">
        <f t="shared" si="8"/>
        <v>0</v>
      </c>
      <c r="AN14" s="235">
        <v>0</v>
      </c>
      <c r="AO14" s="372" t="s">
        <v>107</v>
      </c>
      <c r="AP14" s="373">
        <f>IF(ISBLANK($A14),0,IF(AO14="no",0,VLOOKUP($A14,'CAPEX Categories'!$A$2:$C$18,3,FALSE)))</f>
        <v>0.4</v>
      </c>
      <c r="AQ14" s="53">
        <f t="shared" si="9"/>
        <v>0</v>
      </c>
      <c r="AR14" s="235">
        <v>0</v>
      </c>
      <c r="AS14" s="372" t="s">
        <v>107</v>
      </c>
      <c r="AT14" s="373">
        <f>IF(ISBLANK(A14),0,IF(AS14="no",0,VLOOKUP(A14,'CAPEX Categories'!$A$2:$C$18,3,FALSE)))</f>
        <v>0.4</v>
      </c>
      <c r="AU14" s="53">
        <f t="shared" si="10"/>
        <v>0</v>
      </c>
      <c r="AV14" s="51"/>
      <c r="AW14" s="51"/>
      <c r="AX14" s="51"/>
      <c r="BG14" s="141"/>
    </row>
    <row r="15" spans="1:61" ht="14.45" customHeight="1" x14ac:dyDescent="0.25">
      <c r="A15" s="531"/>
      <c r="B15" s="532"/>
      <c r="C15" s="544"/>
      <c r="D15" s="236">
        <v>0</v>
      </c>
      <c r="E15" s="374" t="s">
        <v>106</v>
      </c>
      <c r="F15" s="375">
        <f>IF(ISBLANK($A15),0,IF(E15="no",0,VLOOKUP($A15,'CAPEX Categories'!$A$2:$C$18,3,FALSE)))</f>
        <v>0</v>
      </c>
      <c r="G15" s="54">
        <f t="shared" si="0"/>
        <v>0</v>
      </c>
      <c r="H15" s="236">
        <v>0</v>
      </c>
      <c r="I15" s="374" t="s">
        <v>106</v>
      </c>
      <c r="J15" s="375">
        <f>IF(ISBLANK($A15),0,IF(I15="no",0,VLOOKUP($A15,'CAPEX Categories'!$A$2:$C$18,3,FALSE)))</f>
        <v>0</v>
      </c>
      <c r="K15" s="54">
        <f t="shared" si="1"/>
        <v>0</v>
      </c>
      <c r="L15" s="236">
        <v>0</v>
      </c>
      <c r="M15" s="374" t="s">
        <v>106</v>
      </c>
      <c r="N15" s="375">
        <f>IF(ISBLANK($A15),0,IF(M15="no",0,VLOOKUP($A15,'CAPEX Categories'!$A$2:$C$18,3,FALSE)))</f>
        <v>0</v>
      </c>
      <c r="O15" s="54">
        <f t="shared" si="2"/>
        <v>0</v>
      </c>
      <c r="P15" s="236">
        <v>0</v>
      </c>
      <c r="Q15" s="374" t="s">
        <v>106</v>
      </c>
      <c r="R15" s="375">
        <f>IF(ISBLANK($A15),0,IF(Q15="no",0,VLOOKUP($A15,'CAPEX Categories'!$A$2:$C$18,3,FALSE)))</f>
        <v>0</v>
      </c>
      <c r="S15" s="54">
        <f t="shared" si="3"/>
        <v>0</v>
      </c>
      <c r="T15" s="236">
        <v>0</v>
      </c>
      <c r="U15" s="374" t="s">
        <v>106</v>
      </c>
      <c r="V15" s="375">
        <f>IF(ISBLANK($A15),0,IF(U15="no",0,VLOOKUP($A15,'CAPEX Categories'!$A$2:$C$18,3,FALSE)))</f>
        <v>0</v>
      </c>
      <c r="W15" s="54">
        <f t="shared" si="4"/>
        <v>0</v>
      </c>
      <c r="X15" s="236">
        <v>0</v>
      </c>
      <c r="Y15" s="374" t="s">
        <v>106</v>
      </c>
      <c r="Z15" s="375">
        <f>IF(ISBLANK($A15),0,IF(Y15="no",0,VLOOKUP($A15,'CAPEX Categories'!$A$2:$C$18,3,FALSE)))</f>
        <v>0</v>
      </c>
      <c r="AA15" s="54">
        <f t="shared" si="5"/>
        <v>0</v>
      </c>
      <c r="AB15" s="236">
        <v>0</v>
      </c>
      <c r="AC15" s="374" t="s">
        <v>106</v>
      </c>
      <c r="AD15" s="375">
        <f>IF(ISBLANK($A15),0,IF(AC15="no",0,VLOOKUP($A15,'CAPEX Categories'!$A$2:$C$18,3,FALSE)))</f>
        <v>0</v>
      </c>
      <c r="AE15" s="54">
        <f t="shared" si="6"/>
        <v>0</v>
      </c>
      <c r="AF15" s="236">
        <v>0</v>
      </c>
      <c r="AG15" s="374" t="s">
        <v>106</v>
      </c>
      <c r="AH15" s="375">
        <f>IF(ISBLANK($A15),0,IF(AG15="no",0,VLOOKUP($A15,'CAPEX Categories'!$A$2:$C$18,3,FALSE)))</f>
        <v>0</v>
      </c>
      <c r="AI15" s="54">
        <f t="shared" si="7"/>
        <v>0</v>
      </c>
      <c r="AJ15" s="236">
        <v>0</v>
      </c>
      <c r="AK15" s="374" t="s">
        <v>106</v>
      </c>
      <c r="AL15" s="375">
        <f>IF(ISBLANK($A15),0,IF(AK15="no",0,VLOOKUP($A15,'CAPEX Categories'!$A$2:$C$18,3,FALSE)))</f>
        <v>0</v>
      </c>
      <c r="AM15" s="54">
        <f t="shared" si="8"/>
        <v>0</v>
      </c>
      <c r="AN15" s="236">
        <v>0</v>
      </c>
      <c r="AO15" s="374" t="s">
        <v>106</v>
      </c>
      <c r="AP15" s="375">
        <f>IF(ISBLANK($A15),0,IF(AO15="no",0,VLOOKUP($A15,'CAPEX Categories'!$A$2:$C$18,3,FALSE)))</f>
        <v>0</v>
      </c>
      <c r="AQ15" s="54">
        <f t="shared" si="9"/>
        <v>0</v>
      </c>
      <c r="AR15" s="236">
        <v>0</v>
      </c>
      <c r="AS15" s="374" t="s">
        <v>106</v>
      </c>
      <c r="AT15" s="375">
        <f>IF(ISBLANK(A15),0,IF(AS15="no",0,VLOOKUP(A15,'CAPEX Categories'!$A$2:$C$18,3,FALSE)))</f>
        <v>0</v>
      </c>
      <c r="AU15" s="54">
        <f t="shared" si="10"/>
        <v>0</v>
      </c>
      <c r="AV15" s="51"/>
      <c r="AW15" s="51"/>
      <c r="AX15" s="51"/>
      <c r="BG15" s="141"/>
    </row>
    <row r="16" spans="1:61" ht="14.45" customHeight="1" x14ac:dyDescent="0.25">
      <c r="A16" s="533" t="s">
        <v>203</v>
      </c>
      <c r="B16" s="534"/>
      <c r="C16" s="539" t="s">
        <v>125</v>
      </c>
      <c r="D16" s="235">
        <v>0</v>
      </c>
      <c r="E16" s="372" t="s">
        <v>107</v>
      </c>
      <c r="F16" s="373">
        <f>IF(ISBLANK($A16),0,IF(E16="no",0,VLOOKUP($A16,'CAPEX Categories'!$A$2:$C$18,3,FALSE)))</f>
        <v>0.25</v>
      </c>
      <c r="G16" s="53">
        <f t="shared" si="0"/>
        <v>0</v>
      </c>
      <c r="H16" s="235">
        <v>0</v>
      </c>
      <c r="I16" s="372" t="s">
        <v>107</v>
      </c>
      <c r="J16" s="373">
        <f>IF(ISBLANK($A16),0,IF(I16="no",0,VLOOKUP($A16,'CAPEX Categories'!$A$2:$C$18,3,FALSE)))</f>
        <v>0.25</v>
      </c>
      <c r="K16" s="53">
        <f t="shared" si="1"/>
        <v>0</v>
      </c>
      <c r="L16" s="235">
        <v>0</v>
      </c>
      <c r="M16" s="372" t="s">
        <v>107</v>
      </c>
      <c r="N16" s="373">
        <f>IF(ISBLANK($A16),0,IF(M16="no",0,VLOOKUP($A16,'CAPEX Categories'!$A$2:$C$18,3,FALSE)))</f>
        <v>0.25</v>
      </c>
      <c r="O16" s="53">
        <f t="shared" si="2"/>
        <v>0</v>
      </c>
      <c r="P16" s="235">
        <v>0</v>
      </c>
      <c r="Q16" s="372" t="s">
        <v>107</v>
      </c>
      <c r="R16" s="373">
        <f>IF(ISBLANK($A16),0,IF(Q16="no",0,VLOOKUP($A16,'CAPEX Categories'!$A$2:$C$18,3,FALSE)))</f>
        <v>0.25</v>
      </c>
      <c r="S16" s="53">
        <f t="shared" si="3"/>
        <v>0</v>
      </c>
      <c r="T16" s="235">
        <v>0</v>
      </c>
      <c r="U16" s="372" t="s">
        <v>107</v>
      </c>
      <c r="V16" s="373">
        <f>IF(ISBLANK($A16),0,IF(U16="no",0,VLOOKUP($A16,'CAPEX Categories'!$A$2:$C$18,3,FALSE)))</f>
        <v>0.25</v>
      </c>
      <c r="W16" s="53">
        <f t="shared" si="4"/>
        <v>0</v>
      </c>
      <c r="X16" s="235">
        <v>0</v>
      </c>
      <c r="Y16" s="372" t="s">
        <v>107</v>
      </c>
      <c r="Z16" s="373">
        <f>IF(ISBLANK($A16),0,IF(Y16="no",0,VLOOKUP($A16,'CAPEX Categories'!$A$2:$C$18,3,FALSE)))</f>
        <v>0.25</v>
      </c>
      <c r="AA16" s="53">
        <f t="shared" si="5"/>
        <v>0</v>
      </c>
      <c r="AB16" s="235">
        <v>0</v>
      </c>
      <c r="AC16" s="372" t="s">
        <v>107</v>
      </c>
      <c r="AD16" s="373">
        <f>IF(ISBLANK($A16),0,IF(AC16="no",0,VLOOKUP($A16,'CAPEX Categories'!$A$2:$C$18,3,FALSE)))</f>
        <v>0.25</v>
      </c>
      <c r="AE16" s="53">
        <f t="shared" si="6"/>
        <v>0</v>
      </c>
      <c r="AF16" s="235">
        <v>0</v>
      </c>
      <c r="AG16" s="372" t="s">
        <v>107</v>
      </c>
      <c r="AH16" s="373">
        <f>IF(ISBLANK($A16),0,IF(AG16="no",0,VLOOKUP($A16,'CAPEX Categories'!$A$2:$C$18,3,FALSE)))</f>
        <v>0.25</v>
      </c>
      <c r="AI16" s="53">
        <f t="shared" si="7"/>
        <v>0</v>
      </c>
      <c r="AJ16" s="235">
        <v>0</v>
      </c>
      <c r="AK16" s="372" t="s">
        <v>107</v>
      </c>
      <c r="AL16" s="373">
        <f>IF(ISBLANK($A16),0,IF(AK16="no",0,VLOOKUP($A16,'CAPEX Categories'!$A$2:$C$18,3,FALSE)))</f>
        <v>0.25</v>
      </c>
      <c r="AM16" s="53">
        <f t="shared" si="8"/>
        <v>0</v>
      </c>
      <c r="AN16" s="235">
        <v>0</v>
      </c>
      <c r="AO16" s="372" t="s">
        <v>107</v>
      </c>
      <c r="AP16" s="373">
        <f>IF(ISBLANK($A16),0,IF(AO16="no",0,VLOOKUP($A16,'CAPEX Categories'!$A$2:$C$18,3,FALSE)))</f>
        <v>0.25</v>
      </c>
      <c r="AQ16" s="53">
        <f t="shared" si="9"/>
        <v>0</v>
      </c>
      <c r="AR16" s="235">
        <v>0</v>
      </c>
      <c r="AS16" s="372" t="s">
        <v>107</v>
      </c>
      <c r="AT16" s="373">
        <f>IF(ISBLANK(A16),0,IF(AS16="no",0,VLOOKUP(A16,'CAPEX Categories'!$A$2:$C$18,3,FALSE)))</f>
        <v>0.25</v>
      </c>
      <c r="AU16" s="53">
        <f t="shared" si="10"/>
        <v>0</v>
      </c>
      <c r="AV16" s="51"/>
      <c r="AW16" s="51"/>
      <c r="AX16" s="51"/>
      <c r="BG16" s="141"/>
    </row>
    <row r="17" spans="1:59" ht="14.45" customHeight="1" x14ac:dyDescent="0.25">
      <c r="A17" s="535"/>
      <c r="B17" s="536"/>
      <c r="C17" s="540"/>
      <c r="D17" s="236">
        <v>0</v>
      </c>
      <c r="E17" s="374" t="s">
        <v>106</v>
      </c>
      <c r="F17" s="375">
        <f>IF(ISBLANK($A17),0,IF(E17="no",0,VLOOKUP($A17,'CAPEX Categories'!$A$2:$C$18,3,FALSE)))</f>
        <v>0</v>
      </c>
      <c r="G17" s="54">
        <f t="shared" si="0"/>
        <v>0</v>
      </c>
      <c r="H17" s="236">
        <v>0</v>
      </c>
      <c r="I17" s="374" t="s">
        <v>106</v>
      </c>
      <c r="J17" s="375">
        <f>IF(ISBLANK($A17),0,IF(I17="no",0,VLOOKUP($A17,'CAPEX Categories'!$A$2:$C$18,3,FALSE)))</f>
        <v>0</v>
      </c>
      <c r="K17" s="54">
        <f t="shared" si="1"/>
        <v>0</v>
      </c>
      <c r="L17" s="236">
        <v>0</v>
      </c>
      <c r="M17" s="374" t="s">
        <v>106</v>
      </c>
      <c r="N17" s="375">
        <f>IF(ISBLANK($A17),0,IF(M17="no",0,VLOOKUP($A17,'CAPEX Categories'!$A$2:$C$18,3,FALSE)))</f>
        <v>0</v>
      </c>
      <c r="O17" s="54">
        <f t="shared" si="2"/>
        <v>0</v>
      </c>
      <c r="P17" s="236">
        <v>0</v>
      </c>
      <c r="Q17" s="374" t="s">
        <v>106</v>
      </c>
      <c r="R17" s="375">
        <f>IF(ISBLANK($A17),0,IF(Q17="no",0,VLOOKUP($A17,'CAPEX Categories'!$A$2:$C$18,3,FALSE)))</f>
        <v>0</v>
      </c>
      <c r="S17" s="54">
        <f t="shared" si="3"/>
        <v>0</v>
      </c>
      <c r="T17" s="236">
        <v>0</v>
      </c>
      <c r="U17" s="374" t="s">
        <v>106</v>
      </c>
      <c r="V17" s="375">
        <f>IF(ISBLANK($A17),0,IF(U17="no",0,VLOOKUP($A17,'CAPEX Categories'!$A$2:$C$18,3,FALSE)))</f>
        <v>0</v>
      </c>
      <c r="W17" s="54">
        <f t="shared" si="4"/>
        <v>0</v>
      </c>
      <c r="X17" s="236">
        <v>0</v>
      </c>
      <c r="Y17" s="374" t="s">
        <v>106</v>
      </c>
      <c r="Z17" s="375">
        <f>IF(ISBLANK($A17),0,IF(Y17="no",0,VLOOKUP($A17,'CAPEX Categories'!$A$2:$C$18,3,FALSE)))</f>
        <v>0</v>
      </c>
      <c r="AA17" s="54">
        <f t="shared" si="5"/>
        <v>0</v>
      </c>
      <c r="AB17" s="236">
        <v>0</v>
      </c>
      <c r="AC17" s="374" t="s">
        <v>106</v>
      </c>
      <c r="AD17" s="375">
        <f>IF(ISBLANK($A17),0,IF(AC17="no",0,VLOOKUP($A17,'CAPEX Categories'!$A$2:$C$18,3,FALSE)))</f>
        <v>0</v>
      </c>
      <c r="AE17" s="54">
        <f t="shared" si="6"/>
        <v>0</v>
      </c>
      <c r="AF17" s="236">
        <v>0</v>
      </c>
      <c r="AG17" s="374" t="s">
        <v>106</v>
      </c>
      <c r="AH17" s="375">
        <f>IF(ISBLANK($A17),0,IF(AG17="no",0,VLOOKUP($A17,'CAPEX Categories'!$A$2:$C$18,3,FALSE)))</f>
        <v>0</v>
      </c>
      <c r="AI17" s="54">
        <f t="shared" si="7"/>
        <v>0</v>
      </c>
      <c r="AJ17" s="236">
        <v>0</v>
      </c>
      <c r="AK17" s="374" t="s">
        <v>106</v>
      </c>
      <c r="AL17" s="375">
        <f>IF(ISBLANK($A17),0,IF(AK17="no",0,VLOOKUP($A17,'CAPEX Categories'!$A$2:$C$18,3,FALSE)))</f>
        <v>0</v>
      </c>
      <c r="AM17" s="54">
        <f t="shared" si="8"/>
        <v>0</v>
      </c>
      <c r="AN17" s="236">
        <v>0</v>
      </c>
      <c r="AO17" s="374" t="s">
        <v>106</v>
      </c>
      <c r="AP17" s="375">
        <f>IF(ISBLANK($A17),0,IF(AO17="no",0,VLOOKUP($A17,'CAPEX Categories'!$A$2:$C$18,3,FALSE)))</f>
        <v>0</v>
      </c>
      <c r="AQ17" s="54">
        <f t="shared" si="9"/>
        <v>0</v>
      </c>
      <c r="AR17" s="236">
        <v>0</v>
      </c>
      <c r="AS17" s="374" t="s">
        <v>106</v>
      </c>
      <c r="AT17" s="375">
        <f>IF(ISBLANK(A17),0,IF(AS17="no",0,VLOOKUP(A17,'CAPEX Categories'!$A$2:$C$18,3,FALSE)))</f>
        <v>0</v>
      </c>
      <c r="AU17" s="54">
        <f t="shared" si="10"/>
        <v>0</v>
      </c>
      <c r="AV17" s="51"/>
      <c r="AW17" s="51"/>
      <c r="AX17" s="51"/>
      <c r="BG17" s="141"/>
    </row>
    <row r="18" spans="1:59" ht="14.45" customHeight="1" x14ac:dyDescent="0.25">
      <c r="A18" s="529" t="s">
        <v>183</v>
      </c>
      <c r="B18" s="530"/>
      <c r="C18" s="537" t="s">
        <v>189</v>
      </c>
      <c r="D18" s="235">
        <v>0</v>
      </c>
      <c r="E18" s="372" t="s">
        <v>107</v>
      </c>
      <c r="F18" s="373">
        <f>IF(ISBLANK($A18),0,IF(E18="no",0,VLOOKUP($A18,'CAPEX Categories'!$A$2:$C$18,3,FALSE)))</f>
        <v>0.2</v>
      </c>
      <c r="G18" s="53">
        <f t="shared" si="0"/>
        <v>0</v>
      </c>
      <c r="H18" s="235">
        <v>0</v>
      </c>
      <c r="I18" s="372" t="s">
        <v>107</v>
      </c>
      <c r="J18" s="373">
        <f>IF(ISBLANK($A18),0,IF(I18="no",0,VLOOKUP($A18,'CAPEX Categories'!$A$2:$C$18,3,FALSE)))</f>
        <v>0.2</v>
      </c>
      <c r="K18" s="53">
        <f t="shared" si="1"/>
        <v>0</v>
      </c>
      <c r="L18" s="235">
        <v>0</v>
      </c>
      <c r="M18" s="372" t="s">
        <v>107</v>
      </c>
      <c r="N18" s="373">
        <f>IF(ISBLANK($A18),0,IF(M18="no",0,VLOOKUP($A18,'CAPEX Categories'!$A$2:$C$18,3,FALSE)))</f>
        <v>0.2</v>
      </c>
      <c r="O18" s="53">
        <f t="shared" si="2"/>
        <v>0</v>
      </c>
      <c r="P18" s="235">
        <v>0</v>
      </c>
      <c r="Q18" s="372" t="s">
        <v>107</v>
      </c>
      <c r="R18" s="373">
        <f>IF(ISBLANK($A18),0,IF(Q18="no",0,VLOOKUP($A18,'CAPEX Categories'!$A$2:$C$18,3,FALSE)))</f>
        <v>0.2</v>
      </c>
      <c r="S18" s="53">
        <f t="shared" si="3"/>
        <v>0</v>
      </c>
      <c r="T18" s="235">
        <v>0</v>
      </c>
      <c r="U18" s="372" t="s">
        <v>107</v>
      </c>
      <c r="V18" s="373">
        <f>IF(ISBLANK($A18),0,IF(U18="no",0,VLOOKUP($A18,'CAPEX Categories'!$A$2:$C$18,3,FALSE)))</f>
        <v>0.2</v>
      </c>
      <c r="W18" s="53">
        <f t="shared" si="4"/>
        <v>0</v>
      </c>
      <c r="X18" s="235">
        <v>0</v>
      </c>
      <c r="Y18" s="372" t="s">
        <v>107</v>
      </c>
      <c r="Z18" s="373">
        <f>IF(ISBLANK($A18),0,IF(Y18="no",0,VLOOKUP($A18,'CAPEX Categories'!$A$2:$C$18,3,FALSE)))</f>
        <v>0.2</v>
      </c>
      <c r="AA18" s="53">
        <f t="shared" si="5"/>
        <v>0</v>
      </c>
      <c r="AB18" s="235">
        <v>0</v>
      </c>
      <c r="AC18" s="372" t="s">
        <v>107</v>
      </c>
      <c r="AD18" s="373">
        <f>IF(ISBLANK($A18),0,IF(AC18="no",0,VLOOKUP($A18,'CAPEX Categories'!$A$2:$C$18,3,FALSE)))</f>
        <v>0.2</v>
      </c>
      <c r="AE18" s="53">
        <f t="shared" si="6"/>
        <v>0</v>
      </c>
      <c r="AF18" s="235">
        <v>0</v>
      </c>
      <c r="AG18" s="372" t="s">
        <v>107</v>
      </c>
      <c r="AH18" s="373">
        <f>IF(ISBLANK($A18),0,IF(AG18="no",0,VLOOKUP($A18,'CAPEX Categories'!$A$2:$C$18,3,FALSE)))</f>
        <v>0.2</v>
      </c>
      <c r="AI18" s="53">
        <f t="shared" si="7"/>
        <v>0</v>
      </c>
      <c r="AJ18" s="235">
        <v>0</v>
      </c>
      <c r="AK18" s="372" t="s">
        <v>107</v>
      </c>
      <c r="AL18" s="373">
        <f>IF(ISBLANK($A18),0,IF(AK18="no",0,VLOOKUP($A18,'CAPEX Categories'!$A$2:$C$18,3,FALSE)))</f>
        <v>0.2</v>
      </c>
      <c r="AM18" s="53">
        <f t="shared" si="8"/>
        <v>0</v>
      </c>
      <c r="AN18" s="235">
        <v>0</v>
      </c>
      <c r="AO18" s="372" t="s">
        <v>107</v>
      </c>
      <c r="AP18" s="373">
        <f>IF(ISBLANK($A18),0,IF(AO18="no",0,VLOOKUP($A18,'CAPEX Categories'!$A$2:$C$18,3,FALSE)))</f>
        <v>0.2</v>
      </c>
      <c r="AQ18" s="53">
        <f t="shared" si="9"/>
        <v>0</v>
      </c>
      <c r="AR18" s="235">
        <v>0</v>
      </c>
      <c r="AS18" s="372" t="s">
        <v>107</v>
      </c>
      <c r="AT18" s="373">
        <f>IF(ISBLANK(A18),0,IF(AS18="no",0,VLOOKUP(A18,'CAPEX Categories'!$A$2:$C$18,3,FALSE)))</f>
        <v>0.2</v>
      </c>
      <c r="AU18" s="53">
        <f t="shared" si="10"/>
        <v>0</v>
      </c>
      <c r="AV18" s="51"/>
      <c r="AW18" s="51"/>
      <c r="AX18" s="51"/>
      <c r="BG18" s="141"/>
    </row>
    <row r="19" spans="1:59" ht="14.45" customHeight="1" x14ac:dyDescent="0.25">
      <c r="A19" s="531"/>
      <c r="B19" s="532"/>
      <c r="C19" s="538"/>
      <c r="D19" s="236">
        <v>0</v>
      </c>
      <c r="E19" s="374" t="s">
        <v>106</v>
      </c>
      <c r="F19" s="375">
        <f>IF(ISBLANK($A19),0,IF(E19="no",0,VLOOKUP($A19,'CAPEX Categories'!$A$2:$C$18,3,FALSE)))</f>
        <v>0</v>
      </c>
      <c r="G19" s="54">
        <f t="shared" si="0"/>
        <v>0</v>
      </c>
      <c r="H19" s="236">
        <v>0</v>
      </c>
      <c r="I19" s="374" t="s">
        <v>106</v>
      </c>
      <c r="J19" s="375">
        <f>IF(ISBLANK($A19),0,IF(I19="no",0,VLOOKUP($A19,'CAPEX Categories'!$A$2:$C$18,3,FALSE)))</f>
        <v>0</v>
      </c>
      <c r="K19" s="54">
        <f t="shared" si="1"/>
        <v>0</v>
      </c>
      <c r="L19" s="236">
        <v>0</v>
      </c>
      <c r="M19" s="374" t="s">
        <v>106</v>
      </c>
      <c r="N19" s="375">
        <f>IF(ISBLANK($A19),0,IF(M19="no",0,VLOOKUP($A19,'CAPEX Categories'!$A$2:$C$18,3,FALSE)))</f>
        <v>0</v>
      </c>
      <c r="O19" s="54">
        <f t="shared" si="2"/>
        <v>0</v>
      </c>
      <c r="P19" s="236">
        <v>0</v>
      </c>
      <c r="Q19" s="374" t="s">
        <v>106</v>
      </c>
      <c r="R19" s="375">
        <f>IF(ISBLANK($A19),0,IF(Q19="no",0,VLOOKUP($A19,'CAPEX Categories'!$A$2:$C$18,3,FALSE)))</f>
        <v>0</v>
      </c>
      <c r="S19" s="54">
        <f t="shared" si="3"/>
        <v>0</v>
      </c>
      <c r="T19" s="236">
        <v>0</v>
      </c>
      <c r="U19" s="374" t="s">
        <v>106</v>
      </c>
      <c r="V19" s="375">
        <f>IF(ISBLANK($A19),0,IF(U19="no",0,VLOOKUP($A19,'CAPEX Categories'!$A$2:$C$18,3,FALSE)))</f>
        <v>0</v>
      </c>
      <c r="W19" s="54">
        <f t="shared" si="4"/>
        <v>0</v>
      </c>
      <c r="X19" s="236">
        <v>0</v>
      </c>
      <c r="Y19" s="374" t="s">
        <v>106</v>
      </c>
      <c r="Z19" s="375">
        <f>IF(ISBLANK($A19),0,IF(Y19="no",0,VLOOKUP($A19,'CAPEX Categories'!$A$2:$C$18,3,FALSE)))</f>
        <v>0</v>
      </c>
      <c r="AA19" s="54">
        <f t="shared" si="5"/>
        <v>0</v>
      </c>
      <c r="AB19" s="236">
        <v>0</v>
      </c>
      <c r="AC19" s="374" t="s">
        <v>106</v>
      </c>
      <c r="AD19" s="375">
        <f>IF(ISBLANK($A19),0,IF(AC19="no",0,VLOOKUP($A19,'CAPEX Categories'!$A$2:$C$18,3,FALSE)))</f>
        <v>0</v>
      </c>
      <c r="AE19" s="54">
        <f t="shared" si="6"/>
        <v>0</v>
      </c>
      <c r="AF19" s="236">
        <v>0</v>
      </c>
      <c r="AG19" s="374" t="s">
        <v>106</v>
      </c>
      <c r="AH19" s="375">
        <f>IF(ISBLANK($A19),0,IF(AG19="no",0,VLOOKUP($A19,'CAPEX Categories'!$A$2:$C$18,3,FALSE)))</f>
        <v>0</v>
      </c>
      <c r="AI19" s="54">
        <f t="shared" si="7"/>
        <v>0</v>
      </c>
      <c r="AJ19" s="236">
        <v>0</v>
      </c>
      <c r="AK19" s="374" t="s">
        <v>106</v>
      </c>
      <c r="AL19" s="375">
        <f>IF(ISBLANK($A19),0,IF(AK19="no",0,VLOOKUP($A19,'CAPEX Categories'!$A$2:$C$18,3,FALSE)))</f>
        <v>0</v>
      </c>
      <c r="AM19" s="54">
        <f t="shared" si="8"/>
        <v>0</v>
      </c>
      <c r="AN19" s="236">
        <v>0</v>
      </c>
      <c r="AO19" s="374" t="s">
        <v>106</v>
      </c>
      <c r="AP19" s="375">
        <f>IF(ISBLANK($A19),0,IF(AO19="no",0,VLOOKUP($A19,'CAPEX Categories'!$A$2:$C$18,3,FALSE)))</f>
        <v>0</v>
      </c>
      <c r="AQ19" s="54">
        <f t="shared" si="9"/>
        <v>0</v>
      </c>
      <c r="AR19" s="236">
        <v>0</v>
      </c>
      <c r="AS19" s="374" t="s">
        <v>106</v>
      </c>
      <c r="AT19" s="375">
        <f>IF(ISBLANK(A19),0,IF(AS19="no",0,VLOOKUP(A19,'CAPEX Categories'!$A$2:$C$18,3,FALSE)))</f>
        <v>0</v>
      </c>
      <c r="AU19" s="54">
        <f t="shared" si="10"/>
        <v>0</v>
      </c>
      <c r="AV19" s="51"/>
      <c r="AW19" s="51"/>
      <c r="AX19" s="51"/>
      <c r="BG19" s="141"/>
    </row>
    <row r="20" spans="1:59" ht="14.45" customHeight="1" x14ac:dyDescent="0.25">
      <c r="A20" s="533" t="s">
        <v>184</v>
      </c>
      <c r="B20" s="534"/>
      <c r="C20" s="527" t="s">
        <v>209</v>
      </c>
      <c r="D20" s="235">
        <v>0</v>
      </c>
      <c r="E20" s="372" t="s">
        <v>107</v>
      </c>
      <c r="F20" s="373">
        <f>IF(ISBLANK($A20),0,IF(E20="no",0,VLOOKUP($A20,'CAPEX Categories'!$A$2:$C$18,3,FALSE)))</f>
        <v>0.15</v>
      </c>
      <c r="G20" s="53">
        <f t="shared" si="0"/>
        <v>0</v>
      </c>
      <c r="H20" s="235">
        <v>0</v>
      </c>
      <c r="I20" s="372" t="s">
        <v>107</v>
      </c>
      <c r="J20" s="373">
        <f>IF(ISBLANK($A20),0,IF(I20="no",0,VLOOKUP($A20,'CAPEX Categories'!$A$2:$C$18,3,FALSE)))</f>
        <v>0.15</v>
      </c>
      <c r="K20" s="53">
        <f t="shared" si="1"/>
        <v>0</v>
      </c>
      <c r="L20" s="235">
        <v>0</v>
      </c>
      <c r="M20" s="372" t="s">
        <v>107</v>
      </c>
      <c r="N20" s="373">
        <f>IF(ISBLANK($A20),0,IF(M20="no",0,VLOOKUP($A20,'CAPEX Categories'!$A$2:$C$18,3,FALSE)))</f>
        <v>0.15</v>
      </c>
      <c r="O20" s="53">
        <f t="shared" si="2"/>
        <v>0</v>
      </c>
      <c r="P20" s="235">
        <v>0</v>
      </c>
      <c r="Q20" s="372" t="s">
        <v>107</v>
      </c>
      <c r="R20" s="373">
        <f>IF(ISBLANK($A20),0,IF(Q20="no",0,VLOOKUP($A20,'CAPEX Categories'!$A$2:$C$18,3,FALSE)))</f>
        <v>0.15</v>
      </c>
      <c r="S20" s="53">
        <f t="shared" si="3"/>
        <v>0</v>
      </c>
      <c r="T20" s="235">
        <v>0</v>
      </c>
      <c r="U20" s="372" t="s">
        <v>107</v>
      </c>
      <c r="V20" s="373">
        <f>IF(ISBLANK($A20),0,IF(U20="no",0,VLOOKUP($A20,'CAPEX Categories'!$A$2:$C$18,3,FALSE)))</f>
        <v>0.15</v>
      </c>
      <c r="W20" s="53">
        <f t="shared" si="4"/>
        <v>0</v>
      </c>
      <c r="X20" s="235">
        <v>0</v>
      </c>
      <c r="Y20" s="372" t="s">
        <v>107</v>
      </c>
      <c r="Z20" s="373">
        <f>IF(ISBLANK($A20),0,IF(Y20="no",0,VLOOKUP($A20,'CAPEX Categories'!$A$2:$C$18,3,FALSE)))</f>
        <v>0.15</v>
      </c>
      <c r="AA20" s="53">
        <f t="shared" si="5"/>
        <v>0</v>
      </c>
      <c r="AB20" s="235">
        <v>0</v>
      </c>
      <c r="AC20" s="372" t="s">
        <v>107</v>
      </c>
      <c r="AD20" s="373">
        <f>IF(ISBLANK($A20),0,IF(AC20="no",0,VLOOKUP($A20,'CAPEX Categories'!$A$2:$C$18,3,FALSE)))</f>
        <v>0.15</v>
      </c>
      <c r="AE20" s="53">
        <f t="shared" si="6"/>
        <v>0</v>
      </c>
      <c r="AF20" s="235">
        <v>0</v>
      </c>
      <c r="AG20" s="372" t="s">
        <v>107</v>
      </c>
      <c r="AH20" s="373">
        <f>IF(ISBLANK($A20),0,IF(AG20="no",0,VLOOKUP($A20,'CAPEX Categories'!$A$2:$C$18,3,FALSE)))</f>
        <v>0.15</v>
      </c>
      <c r="AI20" s="53">
        <f t="shared" si="7"/>
        <v>0</v>
      </c>
      <c r="AJ20" s="235">
        <v>0</v>
      </c>
      <c r="AK20" s="372" t="s">
        <v>107</v>
      </c>
      <c r="AL20" s="373">
        <f>IF(ISBLANK($A20),0,IF(AK20="no",0,VLOOKUP($A20,'CAPEX Categories'!$A$2:$C$18,3,FALSE)))</f>
        <v>0.15</v>
      </c>
      <c r="AM20" s="53">
        <f t="shared" si="8"/>
        <v>0</v>
      </c>
      <c r="AN20" s="235">
        <v>0</v>
      </c>
      <c r="AO20" s="372" t="s">
        <v>107</v>
      </c>
      <c r="AP20" s="373">
        <f>IF(ISBLANK($A20),0,IF(AO20="no",0,VLOOKUP($A20,'CAPEX Categories'!$A$2:$C$18,3,FALSE)))</f>
        <v>0.15</v>
      </c>
      <c r="AQ20" s="53">
        <f t="shared" si="9"/>
        <v>0</v>
      </c>
      <c r="AR20" s="235">
        <v>0</v>
      </c>
      <c r="AS20" s="372" t="s">
        <v>107</v>
      </c>
      <c r="AT20" s="373">
        <f>IF(ISBLANK(A20),0,IF(AS20="no",0,VLOOKUP(A20,'CAPEX Categories'!$A$2:$C$18,3,FALSE)))</f>
        <v>0.15</v>
      </c>
      <c r="AU20" s="53">
        <f t="shared" si="10"/>
        <v>0</v>
      </c>
      <c r="AV20" s="51"/>
      <c r="AW20" s="51"/>
      <c r="AX20" s="51"/>
      <c r="BG20" s="141"/>
    </row>
    <row r="21" spans="1:59" ht="14.45" customHeight="1" x14ac:dyDescent="0.25">
      <c r="A21" s="535"/>
      <c r="B21" s="536"/>
      <c r="C21" s="528"/>
      <c r="D21" s="236">
        <v>0</v>
      </c>
      <c r="E21" s="374" t="s">
        <v>106</v>
      </c>
      <c r="F21" s="375">
        <f>IF(ISBLANK($A21),0,IF(E21="no",0,VLOOKUP($A21,'CAPEX Categories'!$A$2:$C$18,3,FALSE)))</f>
        <v>0</v>
      </c>
      <c r="G21" s="54">
        <f t="shared" si="0"/>
        <v>0</v>
      </c>
      <c r="H21" s="236">
        <v>0</v>
      </c>
      <c r="I21" s="374" t="s">
        <v>106</v>
      </c>
      <c r="J21" s="375">
        <f>IF(ISBLANK($A21),0,IF(I21="no",0,VLOOKUP($A21,'CAPEX Categories'!$A$2:$C$18,3,FALSE)))</f>
        <v>0</v>
      </c>
      <c r="K21" s="54">
        <f t="shared" si="1"/>
        <v>0</v>
      </c>
      <c r="L21" s="236">
        <v>0</v>
      </c>
      <c r="M21" s="374" t="s">
        <v>106</v>
      </c>
      <c r="N21" s="375">
        <f>IF(ISBLANK($A21),0,IF(M21="no",0,VLOOKUP($A21,'CAPEX Categories'!$A$2:$C$18,3,FALSE)))</f>
        <v>0</v>
      </c>
      <c r="O21" s="54">
        <f t="shared" si="2"/>
        <v>0</v>
      </c>
      <c r="P21" s="236">
        <v>0</v>
      </c>
      <c r="Q21" s="374" t="s">
        <v>106</v>
      </c>
      <c r="R21" s="375">
        <f>IF(ISBLANK($A21),0,IF(Q21="no",0,VLOOKUP($A21,'CAPEX Categories'!$A$2:$C$18,3,FALSE)))</f>
        <v>0</v>
      </c>
      <c r="S21" s="54">
        <f t="shared" si="3"/>
        <v>0</v>
      </c>
      <c r="T21" s="236">
        <v>0</v>
      </c>
      <c r="U21" s="374" t="s">
        <v>106</v>
      </c>
      <c r="V21" s="375">
        <f>IF(ISBLANK($A21),0,IF(U21="no",0,VLOOKUP($A21,'CAPEX Categories'!$A$2:$C$18,3,FALSE)))</f>
        <v>0</v>
      </c>
      <c r="W21" s="54">
        <f t="shared" si="4"/>
        <v>0</v>
      </c>
      <c r="X21" s="236">
        <v>0</v>
      </c>
      <c r="Y21" s="374" t="s">
        <v>106</v>
      </c>
      <c r="Z21" s="375">
        <f>IF(ISBLANK($A21),0,IF(Y21="no",0,VLOOKUP($A21,'CAPEX Categories'!$A$2:$C$18,3,FALSE)))</f>
        <v>0</v>
      </c>
      <c r="AA21" s="54">
        <f t="shared" si="5"/>
        <v>0</v>
      </c>
      <c r="AB21" s="236">
        <v>0</v>
      </c>
      <c r="AC21" s="374" t="s">
        <v>106</v>
      </c>
      <c r="AD21" s="375">
        <f>IF(ISBLANK($A21),0,IF(AC21="no",0,VLOOKUP($A21,'CAPEX Categories'!$A$2:$C$18,3,FALSE)))</f>
        <v>0</v>
      </c>
      <c r="AE21" s="54">
        <f t="shared" si="6"/>
        <v>0</v>
      </c>
      <c r="AF21" s="236">
        <v>0</v>
      </c>
      <c r="AG21" s="374" t="s">
        <v>106</v>
      </c>
      <c r="AH21" s="375">
        <f>IF(ISBLANK($A21),0,IF(AG21="no",0,VLOOKUP($A21,'CAPEX Categories'!$A$2:$C$18,3,FALSE)))</f>
        <v>0</v>
      </c>
      <c r="AI21" s="54">
        <f t="shared" si="7"/>
        <v>0</v>
      </c>
      <c r="AJ21" s="236">
        <v>0</v>
      </c>
      <c r="AK21" s="374" t="s">
        <v>106</v>
      </c>
      <c r="AL21" s="375">
        <f>IF(ISBLANK($A21),0,IF(AK21="no",0,VLOOKUP($A21,'CAPEX Categories'!$A$2:$C$18,3,FALSE)))</f>
        <v>0</v>
      </c>
      <c r="AM21" s="54">
        <f t="shared" si="8"/>
        <v>0</v>
      </c>
      <c r="AN21" s="236">
        <v>0</v>
      </c>
      <c r="AO21" s="374" t="s">
        <v>106</v>
      </c>
      <c r="AP21" s="375">
        <f>IF(ISBLANK($A21),0,IF(AO21="no",0,VLOOKUP($A21,'CAPEX Categories'!$A$2:$C$18,3,FALSE)))</f>
        <v>0</v>
      </c>
      <c r="AQ21" s="54">
        <f t="shared" si="9"/>
        <v>0</v>
      </c>
      <c r="AR21" s="236">
        <v>0</v>
      </c>
      <c r="AS21" s="374" t="s">
        <v>106</v>
      </c>
      <c r="AT21" s="375">
        <f>IF(ISBLANK(A21),0,IF(AS21="no",0,VLOOKUP(A21,'CAPEX Categories'!$A$2:$C$18,3,FALSE)))</f>
        <v>0</v>
      </c>
      <c r="AU21" s="54">
        <f t="shared" si="10"/>
        <v>0</v>
      </c>
      <c r="AV21" s="51"/>
      <c r="AW21" s="51"/>
      <c r="AX21" s="51"/>
      <c r="BG21" s="141"/>
    </row>
    <row r="22" spans="1:59" ht="14.45" customHeight="1" x14ac:dyDescent="0.25">
      <c r="A22" s="529" t="s">
        <v>186</v>
      </c>
      <c r="B22" s="530"/>
      <c r="C22" s="537" t="s">
        <v>163</v>
      </c>
      <c r="D22" s="235">
        <v>0</v>
      </c>
      <c r="E22" s="372" t="s">
        <v>107</v>
      </c>
      <c r="F22" s="373">
        <f>IF(ISBLANK($A22),0,IF(E22="no",0,VLOOKUP($A22,'CAPEX Categories'!$A$2:$C$18,3,FALSE)))</f>
        <v>0.1</v>
      </c>
      <c r="G22" s="53">
        <f t="shared" si="0"/>
        <v>0</v>
      </c>
      <c r="H22" s="235">
        <v>0</v>
      </c>
      <c r="I22" s="372" t="s">
        <v>107</v>
      </c>
      <c r="J22" s="373">
        <f>IF(ISBLANK($A22),0,IF(I22="no",0,VLOOKUP($A22,'CAPEX Categories'!$A$2:$C$18,3,FALSE)))</f>
        <v>0.1</v>
      </c>
      <c r="K22" s="53">
        <f t="shared" si="1"/>
        <v>0</v>
      </c>
      <c r="L22" s="235">
        <v>0</v>
      </c>
      <c r="M22" s="372" t="s">
        <v>107</v>
      </c>
      <c r="N22" s="373">
        <f>IF(ISBLANK($A22),0,IF(M22="no",0,VLOOKUP($A22,'CAPEX Categories'!$A$2:$C$18,3,FALSE)))</f>
        <v>0.1</v>
      </c>
      <c r="O22" s="53">
        <f t="shared" si="2"/>
        <v>0</v>
      </c>
      <c r="P22" s="235">
        <v>0</v>
      </c>
      <c r="Q22" s="372" t="s">
        <v>107</v>
      </c>
      <c r="R22" s="373">
        <f>IF(ISBLANK($A22),0,IF(Q22="no",0,VLOOKUP($A22,'CAPEX Categories'!$A$2:$C$18,3,FALSE)))</f>
        <v>0.1</v>
      </c>
      <c r="S22" s="53">
        <f t="shared" si="3"/>
        <v>0</v>
      </c>
      <c r="T22" s="235">
        <v>0</v>
      </c>
      <c r="U22" s="372" t="s">
        <v>107</v>
      </c>
      <c r="V22" s="373">
        <f>IF(ISBLANK($A22),0,IF(U22="no",0,VLOOKUP($A22,'CAPEX Categories'!$A$2:$C$18,3,FALSE)))</f>
        <v>0.1</v>
      </c>
      <c r="W22" s="53">
        <f t="shared" si="4"/>
        <v>0</v>
      </c>
      <c r="X22" s="235">
        <v>0</v>
      </c>
      <c r="Y22" s="372" t="s">
        <v>107</v>
      </c>
      <c r="Z22" s="373">
        <f>IF(ISBLANK($A22),0,IF(Y22="no",0,VLOOKUP($A22,'CAPEX Categories'!$A$2:$C$18,3,FALSE)))</f>
        <v>0.1</v>
      </c>
      <c r="AA22" s="53">
        <f t="shared" si="5"/>
        <v>0</v>
      </c>
      <c r="AB22" s="235">
        <v>0</v>
      </c>
      <c r="AC22" s="372" t="s">
        <v>107</v>
      </c>
      <c r="AD22" s="373">
        <f>IF(ISBLANK($A22),0,IF(AC22="no",0,VLOOKUP($A22,'CAPEX Categories'!$A$2:$C$18,3,FALSE)))</f>
        <v>0.1</v>
      </c>
      <c r="AE22" s="53">
        <f t="shared" si="6"/>
        <v>0</v>
      </c>
      <c r="AF22" s="235">
        <v>0</v>
      </c>
      <c r="AG22" s="372" t="s">
        <v>107</v>
      </c>
      <c r="AH22" s="373">
        <f>IF(ISBLANK($A22),0,IF(AG22="no",0,VLOOKUP($A22,'CAPEX Categories'!$A$2:$C$18,3,FALSE)))</f>
        <v>0.1</v>
      </c>
      <c r="AI22" s="53">
        <f t="shared" si="7"/>
        <v>0</v>
      </c>
      <c r="AJ22" s="235">
        <v>0</v>
      </c>
      <c r="AK22" s="372" t="s">
        <v>107</v>
      </c>
      <c r="AL22" s="373">
        <f>IF(ISBLANK($A22),0,IF(AK22="no",0,VLOOKUP($A22,'CAPEX Categories'!$A$2:$C$18,3,FALSE)))</f>
        <v>0.1</v>
      </c>
      <c r="AM22" s="53">
        <f t="shared" si="8"/>
        <v>0</v>
      </c>
      <c r="AN22" s="235">
        <v>0</v>
      </c>
      <c r="AO22" s="372" t="s">
        <v>107</v>
      </c>
      <c r="AP22" s="373">
        <f>IF(ISBLANK($A22),0,IF(AO22="no",0,VLOOKUP($A22,'CAPEX Categories'!$A$2:$C$18,3,FALSE)))</f>
        <v>0.1</v>
      </c>
      <c r="AQ22" s="53">
        <f t="shared" si="9"/>
        <v>0</v>
      </c>
      <c r="AR22" s="235">
        <v>0</v>
      </c>
      <c r="AS22" s="372" t="s">
        <v>107</v>
      </c>
      <c r="AT22" s="373">
        <f>IF(ISBLANK(A22),0,IF(AS22="no",0,VLOOKUP(A22,'CAPEX Categories'!$A$2:$C$18,3,FALSE)))</f>
        <v>0.1</v>
      </c>
      <c r="AU22" s="53">
        <f t="shared" si="10"/>
        <v>0</v>
      </c>
      <c r="AV22" s="51"/>
      <c r="AW22" s="51"/>
      <c r="AX22" s="51"/>
      <c r="BG22" s="141"/>
    </row>
    <row r="23" spans="1:59" ht="14.45" customHeight="1" x14ac:dyDescent="0.25">
      <c r="A23" s="531"/>
      <c r="B23" s="532"/>
      <c r="C23" s="538"/>
      <c r="D23" s="236">
        <v>0</v>
      </c>
      <c r="E23" s="374" t="s">
        <v>106</v>
      </c>
      <c r="F23" s="375">
        <f>IF(ISBLANK($A23),0,IF(E23="no",0,VLOOKUP($A23,'CAPEX Categories'!$A$2:$C$18,3,FALSE)))</f>
        <v>0</v>
      </c>
      <c r="G23" s="54">
        <f t="shared" si="0"/>
        <v>0</v>
      </c>
      <c r="H23" s="236">
        <v>0</v>
      </c>
      <c r="I23" s="374" t="s">
        <v>106</v>
      </c>
      <c r="J23" s="375">
        <f>IF(ISBLANK($A23),0,IF(I23="no",0,VLOOKUP($A23,'CAPEX Categories'!$A$2:$C$18,3,FALSE)))</f>
        <v>0</v>
      </c>
      <c r="K23" s="54">
        <f t="shared" si="1"/>
        <v>0</v>
      </c>
      <c r="L23" s="236">
        <v>0</v>
      </c>
      <c r="M23" s="374" t="s">
        <v>106</v>
      </c>
      <c r="N23" s="375">
        <f>IF(ISBLANK($A23),0,IF(M23="no",0,VLOOKUP($A23,'CAPEX Categories'!$A$2:$C$18,3,FALSE)))</f>
        <v>0</v>
      </c>
      <c r="O23" s="54">
        <f t="shared" si="2"/>
        <v>0</v>
      </c>
      <c r="P23" s="236">
        <v>0</v>
      </c>
      <c r="Q23" s="374" t="s">
        <v>106</v>
      </c>
      <c r="R23" s="375">
        <f>IF(ISBLANK($A23),0,IF(Q23="no",0,VLOOKUP($A23,'CAPEX Categories'!$A$2:$C$18,3,FALSE)))</f>
        <v>0</v>
      </c>
      <c r="S23" s="54">
        <f t="shared" si="3"/>
        <v>0</v>
      </c>
      <c r="T23" s="236">
        <v>0</v>
      </c>
      <c r="U23" s="374" t="s">
        <v>106</v>
      </c>
      <c r="V23" s="375">
        <f>IF(ISBLANK($A23),0,IF(U23="no",0,VLOOKUP($A23,'CAPEX Categories'!$A$2:$C$18,3,FALSE)))</f>
        <v>0</v>
      </c>
      <c r="W23" s="54">
        <f t="shared" si="4"/>
        <v>0</v>
      </c>
      <c r="X23" s="236">
        <v>0</v>
      </c>
      <c r="Y23" s="374" t="s">
        <v>106</v>
      </c>
      <c r="Z23" s="375">
        <f>IF(ISBLANK($A23),0,IF(Y23="no",0,VLOOKUP($A23,'CAPEX Categories'!$A$2:$C$18,3,FALSE)))</f>
        <v>0</v>
      </c>
      <c r="AA23" s="54">
        <f t="shared" si="5"/>
        <v>0</v>
      </c>
      <c r="AB23" s="236">
        <v>0</v>
      </c>
      <c r="AC23" s="374" t="s">
        <v>106</v>
      </c>
      <c r="AD23" s="375">
        <f>IF(ISBLANK($A23),0,IF(AC23="no",0,VLOOKUP($A23,'CAPEX Categories'!$A$2:$C$18,3,FALSE)))</f>
        <v>0</v>
      </c>
      <c r="AE23" s="54">
        <f t="shared" si="6"/>
        <v>0</v>
      </c>
      <c r="AF23" s="236">
        <v>0</v>
      </c>
      <c r="AG23" s="374" t="s">
        <v>106</v>
      </c>
      <c r="AH23" s="375">
        <f>IF(ISBLANK($A23),0,IF(AG23="no",0,VLOOKUP($A23,'CAPEX Categories'!$A$2:$C$18,3,FALSE)))</f>
        <v>0</v>
      </c>
      <c r="AI23" s="54">
        <f t="shared" si="7"/>
        <v>0</v>
      </c>
      <c r="AJ23" s="236">
        <v>0</v>
      </c>
      <c r="AK23" s="374" t="s">
        <v>106</v>
      </c>
      <c r="AL23" s="375">
        <f>IF(ISBLANK($A23),0,IF(AK23="no",0,VLOOKUP($A23,'CAPEX Categories'!$A$2:$C$18,3,FALSE)))</f>
        <v>0</v>
      </c>
      <c r="AM23" s="54">
        <f t="shared" si="8"/>
        <v>0</v>
      </c>
      <c r="AN23" s="236">
        <v>0</v>
      </c>
      <c r="AO23" s="374" t="s">
        <v>106</v>
      </c>
      <c r="AP23" s="375">
        <f>IF(ISBLANK($A23),0,IF(AO23="no",0,VLOOKUP($A23,'CAPEX Categories'!$A$2:$C$18,3,FALSE)))</f>
        <v>0</v>
      </c>
      <c r="AQ23" s="54">
        <f t="shared" si="9"/>
        <v>0</v>
      </c>
      <c r="AR23" s="236">
        <v>0</v>
      </c>
      <c r="AS23" s="374" t="s">
        <v>106</v>
      </c>
      <c r="AT23" s="375">
        <f>IF(ISBLANK(A23),0,IF(AS23="no",0,VLOOKUP(A23,'CAPEX Categories'!$A$2:$C$18,3,FALSE)))</f>
        <v>0</v>
      </c>
      <c r="AU23" s="54">
        <f t="shared" si="10"/>
        <v>0</v>
      </c>
      <c r="AV23" s="51"/>
      <c r="AW23" s="51"/>
      <c r="AX23" s="51"/>
      <c r="BG23" s="141"/>
    </row>
    <row r="24" spans="1:59" ht="14.45" customHeight="1" x14ac:dyDescent="0.25">
      <c r="A24" s="533" t="s">
        <v>126</v>
      </c>
      <c r="B24" s="534"/>
      <c r="C24" s="527" t="s">
        <v>206</v>
      </c>
      <c r="D24" s="235">
        <v>0</v>
      </c>
      <c r="E24" s="372" t="s">
        <v>107</v>
      </c>
      <c r="F24" s="373">
        <f>IF(ISBLANK($A24),0,IF(E24="no",0,VLOOKUP($A24,'CAPEX Categories'!$A$2:$C$18,3,FALSE)))</f>
        <v>0.1</v>
      </c>
      <c r="G24" s="53">
        <f t="shared" si="0"/>
        <v>0</v>
      </c>
      <c r="H24" s="235">
        <v>0</v>
      </c>
      <c r="I24" s="372" t="s">
        <v>107</v>
      </c>
      <c r="J24" s="373">
        <f>IF(ISBLANK($A24),0,IF(I24="no",0,VLOOKUP($A24,'CAPEX Categories'!$A$2:$C$18,3,FALSE)))</f>
        <v>0.1</v>
      </c>
      <c r="K24" s="53">
        <f t="shared" si="1"/>
        <v>0</v>
      </c>
      <c r="L24" s="235">
        <v>0</v>
      </c>
      <c r="M24" s="372" t="s">
        <v>107</v>
      </c>
      <c r="N24" s="373">
        <f>IF(ISBLANK($A24),0,IF(M24="no",0,VLOOKUP($A24,'CAPEX Categories'!$A$2:$C$18,3,FALSE)))</f>
        <v>0.1</v>
      </c>
      <c r="O24" s="53">
        <f t="shared" si="2"/>
        <v>0</v>
      </c>
      <c r="P24" s="235">
        <v>0</v>
      </c>
      <c r="Q24" s="372" t="s">
        <v>107</v>
      </c>
      <c r="R24" s="373">
        <f>IF(ISBLANK($A24),0,IF(Q24="no",0,VLOOKUP($A24,'CAPEX Categories'!$A$2:$C$18,3,FALSE)))</f>
        <v>0.1</v>
      </c>
      <c r="S24" s="53">
        <f t="shared" si="3"/>
        <v>0</v>
      </c>
      <c r="T24" s="235">
        <v>0</v>
      </c>
      <c r="U24" s="372" t="s">
        <v>107</v>
      </c>
      <c r="V24" s="373">
        <f>IF(ISBLANK($A24),0,IF(U24="no",0,VLOOKUP($A24,'CAPEX Categories'!$A$2:$C$18,3,FALSE)))</f>
        <v>0.1</v>
      </c>
      <c r="W24" s="53">
        <f t="shared" si="4"/>
        <v>0</v>
      </c>
      <c r="X24" s="235">
        <v>0</v>
      </c>
      <c r="Y24" s="372" t="s">
        <v>107</v>
      </c>
      <c r="Z24" s="373">
        <f>IF(ISBLANK($A24),0,IF(Y24="no",0,VLOOKUP($A24,'CAPEX Categories'!$A$2:$C$18,3,FALSE)))</f>
        <v>0.1</v>
      </c>
      <c r="AA24" s="53">
        <f t="shared" si="5"/>
        <v>0</v>
      </c>
      <c r="AB24" s="235">
        <v>0</v>
      </c>
      <c r="AC24" s="372" t="s">
        <v>107</v>
      </c>
      <c r="AD24" s="373">
        <f>IF(ISBLANK($A24),0,IF(AC24="no",0,VLOOKUP($A24,'CAPEX Categories'!$A$2:$C$18,3,FALSE)))</f>
        <v>0.1</v>
      </c>
      <c r="AE24" s="53">
        <f t="shared" si="6"/>
        <v>0</v>
      </c>
      <c r="AF24" s="235">
        <v>0</v>
      </c>
      <c r="AG24" s="372" t="s">
        <v>107</v>
      </c>
      <c r="AH24" s="373">
        <f>IF(ISBLANK($A24),0,IF(AG24="no",0,VLOOKUP($A24,'CAPEX Categories'!$A$2:$C$18,3,FALSE)))</f>
        <v>0.1</v>
      </c>
      <c r="AI24" s="53">
        <f t="shared" si="7"/>
        <v>0</v>
      </c>
      <c r="AJ24" s="235">
        <v>0</v>
      </c>
      <c r="AK24" s="372" t="s">
        <v>107</v>
      </c>
      <c r="AL24" s="373">
        <f>IF(ISBLANK($A24),0,IF(AK24="no",0,VLOOKUP($A24,'CAPEX Categories'!$A$2:$C$18,3,FALSE)))</f>
        <v>0.1</v>
      </c>
      <c r="AM24" s="53">
        <f t="shared" si="8"/>
        <v>0</v>
      </c>
      <c r="AN24" s="235">
        <v>0</v>
      </c>
      <c r="AO24" s="372" t="s">
        <v>107</v>
      </c>
      <c r="AP24" s="373">
        <f>IF(ISBLANK($A24),0,IF(AO24="no",0,VLOOKUP($A24,'CAPEX Categories'!$A$2:$C$18,3,FALSE)))</f>
        <v>0.1</v>
      </c>
      <c r="AQ24" s="53">
        <f t="shared" si="9"/>
        <v>0</v>
      </c>
      <c r="AR24" s="235">
        <v>0</v>
      </c>
      <c r="AS24" s="372" t="s">
        <v>107</v>
      </c>
      <c r="AT24" s="373">
        <f>IF(ISBLANK(A24),0,IF(AS24="no",0,VLOOKUP(A24,'CAPEX Categories'!$A$2:$C$18,3,FALSE)))</f>
        <v>0.1</v>
      </c>
      <c r="AU24" s="53">
        <f t="shared" si="10"/>
        <v>0</v>
      </c>
      <c r="AV24" s="51"/>
      <c r="AW24" s="51"/>
      <c r="AX24" s="51"/>
      <c r="BG24" s="141"/>
    </row>
    <row r="25" spans="1:59" ht="14.45" customHeight="1" x14ac:dyDescent="0.25">
      <c r="A25" s="535"/>
      <c r="B25" s="536"/>
      <c r="C25" s="528"/>
      <c r="D25" s="236">
        <v>0</v>
      </c>
      <c r="E25" s="374" t="s">
        <v>106</v>
      </c>
      <c r="F25" s="375">
        <f>IF(ISBLANK($A25),0,IF(E25="no",0,VLOOKUP($A25,'CAPEX Categories'!$A$2:$C$18,3,FALSE)))</f>
        <v>0</v>
      </c>
      <c r="G25" s="54">
        <f t="shared" si="0"/>
        <v>0</v>
      </c>
      <c r="H25" s="236">
        <v>0</v>
      </c>
      <c r="I25" s="374" t="s">
        <v>106</v>
      </c>
      <c r="J25" s="375">
        <f>IF(ISBLANK($A25),0,IF(I25="no",0,VLOOKUP($A25,'CAPEX Categories'!$A$2:$C$18,3,FALSE)))</f>
        <v>0</v>
      </c>
      <c r="K25" s="54">
        <f t="shared" si="1"/>
        <v>0</v>
      </c>
      <c r="L25" s="236">
        <v>0</v>
      </c>
      <c r="M25" s="374" t="s">
        <v>106</v>
      </c>
      <c r="N25" s="375">
        <f>IF(ISBLANK($A25),0,IF(M25="no",0,VLOOKUP($A25,'CAPEX Categories'!$A$2:$C$18,3,FALSE)))</f>
        <v>0</v>
      </c>
      <c r="O25" s="54">
        <f t="shared" si="2"/>
        <v>0</v>
      </c>
      <c r="P25" s="236">
        <v>0</v>
      </c>
      <c r="Q25" s="374" t="s">
        <v>106</v>
      </c>
      <c r="R25" s="375">
        <f>IF(ISBLANK($A25),0,IF(Q25="no",0,VLOOKUP($A25,'CAPEX Categories'!$A$2:$C$18,3,FALSE)))</f>
        <v>0</v>
      </c>
      <c r="S25" s="54">
        <f t="shared" si="3"/>
        <v>0</v>
      </c>
      <c r="T25" s="236">
        <v>0</v>
      </c>
      <c r="U25" s="374" t="s">
        <v>106</v>
      </c>
      <c r="V25" s="375">
        <f>IF(ISBLANK($A25),0,IF(U25="no",0,VLOOKUP($A25,'CAPEX Categories'!$A$2:$C$18,3,FALSE)))</f>
        <v>0</v>
      </c>
      <c r="W25" s="54">
        <f t="shared" si="4"/>
        <v>0</v>
      </c>
      <c r="X25" s="236">
        <v>0</v>
      </c>
      <c r="Y25" s="374" t="s">
        <v>106</v>
      </c>
      <c r="Z25" s="375">
        <f>IF(ISBLANK($A25),0,IF(Y25="no",0,VLOOKUP($A25,'CAPEX Categories'!$A$2:$C$18,3,FALSE)))</f>
        <v>0</v>
      </c>
      <c r="AA25" s="54">
        <f t="shared" si="5"/>
        <v>0</v>
      </c>
      <c r="AB25" s="236">
        <v>0</v>
      </c>
      <c r="AC25" s="374" t="s">
        <v>106</v>
      </c>
      <c r="AD25" s="375">
        <f>IF(ISBLANK($A25),0,IF(AC25="no",0,VLOOKUP($A25,'CAPEX Categories'!$A$2:$C$18,3,FALSE)))</f>
        <v>0</v>
      </c>
      <c r="AE25" s="54">
        <f t="shared" si="6"/>
        <v>0</v>
      </c>
      <c r="AF25" s="236">
        <v>0</v>
      </c>
      <c r="AG25" s="374" t="s">
        <v>106</v>
      </c>
      <c r="AH25" s="375">
        <f>IF(ISBLANK($A25),0,IF(AG25="no",0,VLOOKUP($A25,'CAPEX Categories'!$A$2:$C$18,3,FALSE)))</f>
        <v>0</v>
      </c>
      <c r="AI25" s="54">
        <f t="shared" si="7"/>
        <v>0</v>
      </c>
      <c r="AJ25" s="236">
        <v>0</v>
      </c>
      <c r="AK25" s="374" t="s">
        <v>106</v>
      </c>
      <c r="AL25" s="375">
        <f>IF(ISBLANK($A25),0,IF(AK25="no",0,VLOOKUP($A25,'CAPEX Categories'!$A$2:$C$18,3,FALSE)))</f>
        <v>0</v>
      </c>
      <c r="AM25" s="54">
        <f t="shared" si="8"/>
        <v>0</v>
      </c>
      <c r="AN25" s="236">
        <v>0</v>
      </c>
      <c r="AO25" s="374" t="s">
        <v>106</v>
      </c>
      <c r="AP25" s="375">
        <f>IF(ISBLANK($A25),0,IF(AO25="no",0,VLOOKUP($A25,'CAPEX Categories'!$A$2:$C$18,3,FALSE)))</f>
        <v>0</v>
      </c>
      <c r="AQ25" s="54">
        <f t="shared" si="9"/>
        <v>0</v>
      </c>
      <c r="AR25" s="236">
        <v>0</v>
      </c>
      <c r="AS25" s="374" t="s">
        <v>106</v>
      </c>
      <c r="AT25" s="375">
        <f>IF(ISBLANK(A25),0,IF(AS25="no",0,VLOOKUP(A25,'CAPEX Categories'!$A$2:$C$18,3,FALSE)))</f>
        <v>0</v>
      </c>
      <c r="AU25" s="54">
        <f t="shared" si="10"/>
        <v>0</v>
      </c>
      <c r="AV25" s="51"/>
      <c r="AW25" s="51"/>
      <c r="AX25" s="51"/>
      <c r="BG25" s="141"/>
    </row>
    <row r="26" spans="1:59" ht="14.45" customHeight="1" x14ac:dyDescent="0.25">
      <c r="A26" s="529" t="s">
        <v>138</v>
      </c>
      <c r="B26" s="530"/>
      <c r="C26" s="537" t="s">
        <v>128</v>
      </c>
      <c r="D26" s="235">
        <v>0</v>
      </c>
      <c r="E26" s="372" t="s">
        <v>107</v>
      </c>
      <c r="F26" s="373">
        <f>IF(ISBLANK($A26),0,IF(E26="no",0,VLOOKUP($A26,'CAPEX Categories'!$A$2:$C$18,3,FALSE)))</f>
        <v>0.1</v>
      </c>
      <c r="G26" s="53">
        <f t="shared" si="0"/>
        <v>0</v>
      </c>
      <c r="H26" s="235">
        <v>0</v>
      </c>
      <c r="I26" s="372" t="s">
        <v>107</v>
      </c>
      <c r="J26" s="373">
        <f>IF(ISBLANK($A26),0,IF(I26="no",0,VLOOKUP($A26,'CAPEX Categories'!$A$2:$C$18,3,FALSE)))</f>
        <v>0.1</v>
      </c>
      <c r="K26" s="53">
        <f t="shared" si="1"/>
        <v>0</v>
      </c>
      <c r="L26" s="235">
        <v>0</v>
      </c>
      <c r="M26" s="372" t="s">
        <v>107</v>
      </c>
      <c r="N26" s="373">
        <f>IF(ISBLANK($A26),0,IF(M26="no",0,VLOOKUP($A26,'CAPEX Categories'!$A$2:$C$18,3,FALSE)))</f>
        <v>0.1</v>
      </c>
      <c r="O26" s="53">
        <f t="shared" si="2"/>
        <v>0</v>
      </c>
      <c r="P26" s="235">
        <v>0</v>
      </c>
      <c r="Q26" s="372" t="s">
        <v>107</v>
      </c>
      <c r="R26" s="373">
        <f>IF(ISBLANK($A26),0,IF(Q26="no",0,VLOOKUP($A26,'CAPEX Categories'!$A$2:$C$18,3,FALSE)))</f>
        <v>0.1</v>
      </c>
      <c r="S26" s="53">
        <f t="shared" si="3"/>
        <v>0</v>
      </c>
      <c r="T26" s="235">
        <v>0</v>
      </c>
      <c r="U26" s="372" t="s">
        <v>107</v>
      </c>
      <c r="V26" s="373">
        <f>IF(ISBLANK($A26),0,IF(U26="no",0,VLOOKUP($A26,'CAPEX Categories'!$A$2:$C$18,3,FALSE)))</f>
        <v>0.1</v>
      </c>
      <c r="W26" s="53">
        <f t="shared" si="4"/>
        <v>0</v>
      </c>
      <c r="X26" s="235">
        <v>0</v>
      </c>
      <c r="Y26" s="372" t="s">
        <v>107</v>
      </c>
      <c r="Z26" s="373">
        <f>IF(ISBLANK($A26),0,IF(Y26="no",0,VLOOKUP($A26,'CAPEX Categories'!$A$2:$C$18,3,FALSE)))</f>
        <v>0.1</v>
      </c>
      <c r="AA26" s="53">
        <f t="shared" si="5"/>
        <v>0</v>
      </c>
      <c r="AB26" s="235">
        <v>0</v>
      </c>
      <c r="AC26" s="372" t="s">
        <v>107</v>
      </c>
      <c r="AD26" s="373">
        <f>IF(ISBLANK($A26),0,IF(AC26="no",0,VLOOKUP($A26,'CAPEX Categories'!$A$2:$C$18,3,FALSE)))</f>
        <v>0.1</v>
      </c>
      <c r="AE26" s="53">
        <f t="shared" si="6"/>
        <v>0</v>
      </c>
      <c r="AF26" s="235">
        <v>0</v>
      </c>
      <c r="AG26" s="372" t="s">
        <v>107</v>
      </c>
      <c r="AH26" s="373">
        <f>IF(ISBLANK($A26),0,IF(AG26="no",0,VLOOKUP($A26,'CAPEX Categories'!$A$2:$C$18,3,FALSE)))</f>
        <v>0.1</v>
      </c>
      <c r="AI26" s="53">
        <f t="shared" si="7"/>
        <v>0</v>
      </c>
      <c r="AJ26" s="235">
        <v>0</v>
      </c>
      <c r="AK26" s="372" t="s">
        <v>107</v>
      </c>
      <c r="AL26" s="373">
        <f>IF(ISBLANK($A26),0,IF(AK26="no",0,VLOOKUP($A26,'CAPEX Categories'!$A$2:$C$18,3,FALSE)))</f>
        <v>0.1</v>
      </c>
      <c r="AM26" s="53">
        <f t="shared" si="8"/>
        <v>0</v>
      </c>
      <c r="AN26" s="235">
        <v>0</v>
      </c>
      <c r="AO26" s="372" t="s">
        <v>107</v>
      </c>
      <c r="AP26" s="373">
        <f>IF(ISBLANK($A26),0,IF(AO26="no",0,VLOOKUP($A26,'CAPEX Categories'!$A$2:$C$18,3,FALSE)))</f>
        <v>0.1</v>
      </c>
      <c r="AQ26" s="53">
        <f t="shared" si="9"/>
        <v>0</v>
      </c>
      <c r="AR26" s="235">
        <v>0</v>
      </c>
      <c r="AS26" s="372" t="s">
        <v>107</v>
      </c>
      <c r="AT26" s="373">
        <f>IF(ISBLANK(A26),0,IF(AS26="no",0,VLOOKUP(A26,'CAPEX Categories'!$A$2:$C$18,3,FALSE)))</f>
        <v>0.1</v>
      </c>
      <c r="AU26" s="53">
        <f t="shared" si="10"/>
        <v>0</v>
      </c>
      <c r="AV26" s="51"/>
      <c r="AW26" s="51"/>
      <c r="AX26" s="51"/>
      <c r="BG26" s="141"/>
    </row>
    <row r="27" spans="1:59" ht="14.45" customHeight="1" x14ac:dyDescent="0.25">
      <c r="A27" s="531"/>
      <c r="B27" s="532"/>
      <c r="C27" s="538"/>
      <c r="D27" s="236">
        <v>0</v>
      </c>
      <c r="E27" s="374" t="s">
        <v>106</v>
      </c>
      <c r="F27" s="375">
        <f>IF(ISBLANK($A27),0,IF(E27="no",0,VLOOKUP($A27,'CAPEX Categories'!$A$2:$C$18,3,FALSE)))</f>
        <v>0</v>
      </c>
      <c r="G27" s="54">
        <f t="shared" si="0"/>
        <v>0</v>
      </c>
      <c r="H27" s="236">
        <v>0</v>
      </c>
      <c r="I27" s="374" t="s">
        <v>106</v>
      </c>
      <c r="J27" s="375">
        <f>IF(ISBLANK($A27),0,IF(I27="no",0,VLOOKUP($A27,'CAPEX Categories'!$A$2:$C$18,3,FALSE)))</f>
        <v>0</v>
      </c>
      <c r="K27" s="54">
        <f t="shared" si="1"/>
        <v>0</v>
      </c>
      <c r="L27" s="236">
        <v>0</v>
      </c>
      <c r="M27" s="374" t="s">
        <v>106</v>
      </c>
      <c r="N27" s="375">
        <f>IF(ISBLANK($A27),0,IF(M27="no",0,VLOOKUP($A27,'CAPEX Categories'!$A$2:$C$18,3,FALSE)))</f>
        <v>0</v>
      </c>
      <c r="O27" s="54">
        <f t="shared" si="2"/>
        <v>0</v>
      </c>
      <c r="P27" s="236">
        <v>0</v>
      </c>
      <c r="Q27" s="374" t="s">
        <v>106</v>
      </c>
      <c r="R27" s="375">
        <f>IF(ISBLANK($A27),0,IF(Q27="no",0,VLOOKUP($A27,'CAPEX Categories'!$A$2:$C$18,3,FALSE)))</f>
        <v>0</v>
      </c>
      <c r="S27" s="54">
        <f t="shared" si="3"/>
        <v>0</v>
      </c>
      <c r="T27" s="236">
        <v>0</v>
      </c>
      <c r="U27" s="374" t="s">
        <v>106</v>
      </c>
      <c r="V27" s="375">
        <f>IF(ISBLANK($A27),0,IF(U27="no",0,VLOOKUP($A27,'CAPEX Categories'!$A$2:$C$18,3,FALSE)))</f>
        <v>0</v>
      </c>
      <c r="W27" s="54">
        <f t="shared" si="4"/>
        <v>0</v>
      </c>
      <c r="X27" s="236">
        <v>0</v>
      </c>
      <c r="Y27" s="374" t="s">
        <v>106</v>
      </c>
      <c r="Z27" s="375">
        <f>IF(ISBLANK($A27),0,IF(Y27="no",0,VLOOKUP($A27,'CAPEX Categories'!$A$2:$C$18,3,FALSE)))</f>
        <v>0</v>
      </c>
      <c r="AA27" s="54">
        <f t="shared" si="5"/>
        <v>0</v>
      </c>
      <c r="AB27" s="236">
        <v>0</v>
      </c>
      <c r="AC27" s="374" t="s">
        <v>106</v>
      </c>
      <c r="AD27" s="375">
        <f>IF(ISBLANK($A27),0,IF(AC27="no",0,VLOOKUP($A27,'CAPEX Categories'!$A$2:$C$18,3,FALSE)))</f>
        <v>0</v>
      </c>
      <c r="AE27" s="54">
        <f t="shared" si="6"/>
        <v>0</v>
      </c>
      <c r="AF27" s="236">
        <v>0</v>
      </c>
      <c r="AG27" s="374" t="s">
        <v>106</v>
      </c>
      <c r="AH27" s="375">
        <f>IF(ISBLANK($A27),0,IF(AG27="no",0,VLOOKUP($A27,'CAPEX Categories'!$A$2:$C$18,3,FALSE)))</f>
        <v>0</v>
      </c>
      <c r="AI27" s="54">
        <f t="shared" si="7"/>
        <v>0</v>
      </c>
      <c r="AJ27" s="236">
        <v>0</v>
      </c>
      <c r="AK27" s="374" t="s">
        <v>106</v>
      </c>
      <c r="AL27" s="375">
        <f>IF(ISBLANK($A27),0,IF(AK27="no",0,VLOOKUP($A27,'CAPEX Categories'!$A$2:$C$18,3,FALSE)))</f>
        <v>0</v>
      </c>
      <c r="AM27" s="54">
        <f t="shared" si="8"/>
        <v>0</v>
      </c>
      <c r="AN27" s="236">
        <v>0</v>
      </c>
      <c r="AO27" s="374" t="s">
        <v>106</v>
      </c>
      <c r="AP27" s="375">
        <f>IF(ISBLANK($A27),0,IF(AO27="no",0,VLOOKUP($A27,'CAPEX Categories'!$A$2:$C$18,3,FALSE)))</f>
        <v>0</v>
      </c>
      <c r="AQ27" s="54">
        <f t="shared" si="9"/>
        <v>0</v>
      </c>
      <c r="AR27" s="236">
        <v>0</v>
      </c>
      <c r="AS27" s="374" t="s">
        <v>106</v>
      </c>
      <c r="AT27" s="375">
        <f>IF(ISBLANK(A27),0,IF(AS27="no",0,VLOOKUP(A27,'CAPEX Categories'!$A$2:$C$18,3,FALSE)))</f>
        <v>0</v>
      </c>
      <c r="AU27" s="54">
        <f t="shared" si="10"/>
        <v>0</v>
      </c>
      <c r="AV27" s="51"/>
      <c r="AW27" s="51"/>
      <c r="AX27" s="51"/>
    </row>
    <row r="28" spans="1:59" ht="14.45" customHeight="1" x14ac:dyDescent="0.25">
      <c r="A28" s="533" t="s">
        <v>137</v>
      </c>
      <c r="B28" s="534"/>
      <c r="C28" s="527" t="s">
        <v>207</v>
      </c>
      <c r="D28" s="235">
        <v>0</v>
      </c>
      <c r="E28" s="372" t="s">
        <v>107</v>
      </c>
      <c r="F28" s="373">
        <f>IF(ISBLANK($A28),0,IF(E28="no",0,VLOOKUP($A28,'CAPEX Categories'!$A$2:$C$18,3,FALSE)))</f>
        <v>0.1</v>
      </c>
      <c r="G28" s="53">
        <f t="shared" si="0"/>
        <v>0</v>
      </c>
      <c r="H28" s="235">
        <v>0</v>
      </c>
      <c r="I28" s="372" t="s">
        <v>107</v>
      </c>
      <c r="J28" s="373">
        <f>IF(ISBLANK($A28),0,IF(I28="no",0,VLOOKUP($A28,'CAPEX Categories'!$A$2:$C$18,3,FALSE)))</f>
        <v>0.1</v>
      </c>
      <c r="K28" s="53">
        <f t="shared" si="1"/>
        <v>0</v>
      </c>
      <c r="L28" s="235">
        <v>0</v>
      </c>
      <c r="M28" s="372" t="s">
        <v>107</v>
      </c>
      <c r="N28" s="373">
        <f>IF(ISBLANK($A28),0,IF(M28="no",0,VLOOKUP($A28,'CAPEX Categories'!$A$2:$C$18,3,FALSE)))</f>
        <v>0.1</v>
      </c>
      <c r="O28" s="53">
        <f t="shared" si="2"/>
        <v>0</v>
      </c>
      <c r="P28" s="235">
        <v>0</v>
      </c>
      <c r="Q28" s="372" t="s">
        <v>107</v>
      </c>
      <c r="R28" s="373">
        <f>IF(ISBLANK($A28),0,IF(Q28="no",0,VLOOKUP($A28,'CAPEX Categories'!$A$2:$C$18,3,FALSE)))</f>
        <v>0.1</v>
      </c>
      <c r="S28" s="53">
        <f t="shared" si="3"/>
        <v>0</v>
      </c>
      <c r="T28" s="235">
        <v>0</v>
      </c>
      <c r="U28" s="372" t="s">
        <v>107</v>
      </c>
      <c r="V28" s="373">
        <f>IF(ISBLANK($A28),0,IF(U28="no",0,VLOOKUP($A28,'CAPEX Categories'!$A$2:$C$18,3,FALSE)))</f>
        <v>0.1</v>
      </c>
      <c r="W28" s="53">
        <f t="shared" si="4"/>
        <v>0</v>
      </c>
      <c r="X28" s="235">
        <v>0</v>
      </c>
      <c r="Y28" s="372" t="s">
        <v>107</v>
      </c>
      <c r="Z28" s="373">
        <f>IF(ISBLANK($A28),0,IF(Y28="no",0,VLOOKUP($A28,'CAPEX Categories'!$A$2:$C$18,3,FALSE)))</f>
        <v>0.1</v>
      </c>
      <c r="AA28" s="53">
        <f t="shared" si="5"/>
        <v>0</v>
      </c>
      <c r="AB28" s="235">
        <v>0</v>
      </c>
      <c r="AC28" s="372" t="s">
        <v>107</v>
      </c>
      <c r="AD28" s="373">
        <f>IF(ISBLANK($A28),0,IF(AC28="no",0,VLOOKUP($A28,'CAPEX Categories'!$A$2:$C$18,3,FALSE)))</f>
        <v>0.1</v>
      </c>
      <c r="AE28" s="53">
        <f t="shared" si="6"/>
        <v>0</v>
      </c>
      <c r="AF28" s="235">
        <v>0</v>
      </c>
      <c r="AG28" s="372" t="s">
        <v>107</v>
      </c>
      <c r="AH28" s="373">
        <f>IF(ISBLANK($A28),0,IF(AG28="no",0,VLOOKUP($A28,'CAPEX Categories'!$A$2:$C$18,3,FALSE)))</f>
        <v>0.1</v>
      </c>
      <c r="AI28" s="53">
        <f t="shared" si="7"/>
        <v>0</v>
      </c>
      <c r="AJ28" s="235">
        <v>0</v>
      </c>
      <c r="AK28" s="372" t="s">
        <v>107</v>
      </c>
      <c r="AL28" s="373">
        <f>IF(ISBLANK($A28),0,IF(AK28="no",0,VLOOKUP($A28,'CAPEX Categories'!$A$2:$C$18,3,FALSE)))</f>
        <v>0.1</v>
      </c>
      <c r="AM28" s="53">
        <f t="shared" si="8"/>
        <v>0</v>
      </c>
      <c r="AN28" s="235">
        <v>0</v>
      </c>
      <c r="AO28" s="372" t="s">
        <v>107</v>
      </c>
      <c r="AP28" s="373">
        <f>IF(ISBLANK($A28),0,IF(AO28="no",0,VLOOKUP($A28,'CAPEX Categories'!$A$2:$C$18,3,FALSE)))</f>
        <v>0.1</v>
      </c>
      <c r="AQ28" s="53">
        <f t="shared" si="9"/>
        <v>0</v>
      </c>
      <c r="AR28" s="235">
        <v>0</v>
      </c>
      <c r="AS28" s="372" t="s">
        <v>107</v>
      </c>
      <c r="AT28" s="373">
        <f>IF(ISBLANK(A28),0,IF(AS28="no",0,VLOOKUP(A28,'CAPEX Categories'!$A$2:$C$18,3,FALSE)))</f>
        <v>0.1</v>
      </c>
      <c r="AU28" s="53">
        <f t="shared" si="10"/>
        <v>0</v>
      </c>
      <c r="AV28" s="51"/>
      <c r="AW28" s="51"/>
      <c r="AX28" s="51"/>
    </row>
    <row r="29" spans="1:59" ht="14.45" customHeight="1" x14ac:dyDescent="0.25">
      <c r="A29" s="535"/>
      <c r="B29" s="536"/>
      <c r="C29" s="528"/>
      <c r="D29" s="236">
        <v>0</v>
      </c>
      <c r="E29" s="374" t="s">
        <v>106</v>
      </c>
      <c r="F29" s="375">
        <f>IF(ISBLANK($A29),0,IF(E29="no",0,VLOOKUP($A29,'CAPEX Categories'!$A$2:$C$18,3,FALSE)))</f>
        <v>0</v>
      </c>
      <c r="G29" s="54">
        <f t="shared" si="0"/>
        <v>0</v>
      </c>
      <c r="H29" s="236">
        <v>0</v>
      </c>
      <c r="I29" s="374" t="s">
        <v>106</v>
      </c>
      <c r="J29" s="375">
        <f>IF(ISBLANK($A29),0,IF(I29="no",0,VLOOKUP($A29,'CAPEX Categories'!$A$2:$C$18,3,FALSE)))</f>
        <v>0</v>
      </c>
      <c r="K29" s="54">
        <f t="shared" si="1"/>
        <v>0</v>
      </c>
      <c r="L29" s="236">
        <v>0</v>
      </c>
      <c r="M29" s="374" t="s">
        <v>106</v>
      </c>
      <c r="N29" s="375">
        <f>IF(ISBLANK($A29),0,IF(M29="no",0,VLOOKUP($A29,'CAPEX Categories'!$A$2:$C$18,3,FALSE)))</f>
        <v>0</v>
      </c>
      <c r="O29" s="54">
        <f t="shared" si="2"/>
        <v>0</v>
      </c>
      <c r="P29" s="236">
        <v>0</v>
      </c>
      <c r="Q29" s="374" t="s">
        <v>106</v>
      </c>
      <c r="R29" s="375">
        <f>IF(ISBLANK($A29),0,IF(Q29="no",0,VLOOKUP($A29,'CAPEX Categories'!$A$2:$C$18,3,FALSE)))</f>
        <v>0</v>
      </c>
      <c r="S29" s="54">
        <f t="shared" si="3"/>
        <v>0</v>
      </c>
      <c r="T29" s="236">
        <v>0</v>
      </c>
      <c r="U29" s="374" t="s">
        <v>106</v>
      </c>
      <c r="V29" s="375">
        <f>IF(ISBLANK($A29),0,IF(U29="no",0,VLOOKUP($A29,'CAPEX Categories'!$A$2:$C$18,3,FALSE)))</f>
        <v>0</v>
      </c>
      <c r="W29" s="54">
        <f t="shared" si="4"/>
        <v>0</v>
      </c>
      <c r="X29" s="236">
        <v>0</v>
      </c>
      <c r="Y29" s="374" t="s">
        <v>106</v>
      </c>
      <c r="Z29" s="375">
        <f>IF(ISBLANK($A29),0,IF(Y29="no",0,VLOOKUP($A29,'CAPEX Categories'!$A$2:$C$18,3,FALSE)))</f>
        <v>0</v>
      </c>
      <c r="AA29" s="54">
        <f t="shared" si="5"/>
        <v>0</v>
      </c>
      <c r="AB29" s="236">
        <v>0</v>
      </c>
      <c r="AC29" s="374" t="s">
        <v>106</v>
      </c>
      <c r="AD29" s="375">
        <f>IF(ISBLANK($A29),0,IF(AC29="no",0,VLOOKUP($A29,'CAPEX Categories'!$A$2:$C$18,3,FALSE)))</f>
        <v>0</v>
      </c>
      <c r="AE29" s="54">
        <f t="shared" si="6"/>
        <v>0</v>
      </c>
      <c r="AF29" s="236">
        <v>0</v>
      </c>
      <c r="AG29" s="374" t="s">
        <v>106</v>
      </c>
      <c r="AH29" s="375">
        <f>IF(ISBLANK($A29),0,IF(AG29="no",0,VLOOKUP($A29,'CAPEX Categories'!$A$2:$C$18,3,FALSE)))</f>
        <v>0</v>
      </c>
      <c r="AI29" s="54">
        <f t="shared" si="7"/>
        <v>0</v>
      </c>
      <c r="AJ29" s="236">
        <v>0</v>
      </c>
      <c r="AK29" s="374" t="s">
        <v>106</v>
      </c>
      <c r="AL29" s="375">
        <f>IF(ISBLANK($A29),0,IF(AK29="no",0,VLOOKUP($A29,'CAPEX Categories'!$A$2:$C$18,3,FALSE)))</f>
        <v>0</v>
      </c>
      <c r="AM29" s="54">
        <f t="shared" si="8"/>
        <v>0</v>
      </c>
      <c r="AN29" s="236">
        <v>0</v>
      </c>
      <c r="AO29" s="374" t="s">
        <v>106</v>
      </c>
      <c r="AP29" s="375">
        <f>IF(ISBLANK($A29),0,IF(AO29="no",0,VLOOKUP($A29,'CAPEX Categories'!$A$2:$C$18,3,FALSE)))</f>
        <v>0</v>
      </c>
      <c r="AQ29" s="54">
        <f t="shared" si="9"/>
        <v>0</v>
      </c>
      <c r="AR29" s="236">
        <v>0</v>
      </c>
      <c r="AS29" s="374" t="s">
        <v>106</v>
      </c>
      <c r="AT29" s="375">
        <f>IF(ISBLANK(A29),0,IF(AS29="no",0,VLOOKUP(A29,'CAPEX Categories'!$A$2:$C$18,3,FALSE)))</f>
        <v>0</v>
      </c>
      <c r="AU29" s="54">
        <f t="shared" si="10"/>
        <v>0</v>
      </c>
      <c r="AV29" s="51"/>
      <c r="AW29" s="51"/>
      <c r="AX29" s="51"/>
    </row>
    <row r="30" spans="1:59" ht="14.45" customHeight="1" x14ac:dyDescent="0.25">
      <c r="A30" s="529" t="s">
        <v>187</v>
      </c>
      <c r="B30" s="530"/>
      <c r="C30" s="537" t="s">
        <v>188</v>
      </c>
      <c r="D30" s="235">
        <v>0</v>
      </c>
      <c r="E30" s="372" t="s">
        <v>107</v>
      </c>
      <c r="F30" s="373">
        <f>IF(ISBLANK($A30),0,IF(E30="no",0,VLOOKUP($A30,'CAPEX Categories'!$A$2:$C$18,3,FALSE)))</f>
        <v>0.1</v>
      </c>
      <c r="G30" s="53">
        <f t="shared" si="0"/>
        <v>0</v>
      </c>
      <c r="H30" s="235">
        <v>0</v>
      </c>
      <c r="I30" s="372" t="s">
        <v>107</v>
      </c>
      <c r="J30" s="373">
        <f>IF(ISBLANK($A30),0,IF(I30="no",0,VLOOKUP($A30,'CAPEX Categories'!$A$2:$C$18,3,FALSE)))</f>
        <v>0.1</v>
      </c>
      <c r="K30" s="53">
        <f t="shared" si="1"/>
        <v>0</v>
      </c>
      <c r="L30" s="235">
        <v>0</v>
      </c>
      <c r="M30" s="372" t="s">
        <v>107</v>
      </c>
      <c r="N30" s="373">
        <f>IF(ISBLANK($A30),0,IF(M30="no",0,VLOOKUP($A30,'CAPEX Categories'!$A$2:$C$18,3,FALSE)))</f>
        <v>0.1</v>
      </c>
      <c r="O30" s="53">
        <f t="shared" si="2"/>
        <v>0</v>
      </c>
      <c r="P30" s="235">
        <v>0</v>
      </c>
      <c r="Q30" s="372" t="s">
        <v>107</v>
      </c>
      <c r="R30" s="373">
        <f>IF(ISBLANK($A30),0,IF(Q30="no",0,VLOOKUP($A30,'CAPEX Categories'!$A$2:$C$18,3,FALSE)))</f>
        <v>0.1</v>
      </c>
      <c r="S30" s="53">
        <f t="shared" si="3"/>
        <v>0</v>
      </c>
      <c r="T30" s="235">
        <v>0</v>
      </c>
      <c r="U30" s="372" t="s">
        <v>107</v>
      </c>
      <c r="V30" s="373">
        <f>IF(ISBLANK($A30),0,IF(U30="no",0,VLOOKUP($A30,'CAPEX Categories'!$A$2:$C$18,3,FALSE)))</f>
        <v>0.1</v>
      </c>
      <c r="W30" s="53">
        <f t="shared" si="4"/>
        <v>0</v>
      </c>
      <c r="X30" s="235">
        <v>0</v>
      </c>
      <c r="Y30" s="372" t="s">
        <v>107</v>
      </c>
      <c r="Z30" s="373">
        <f>IF(ISBLANK($A30),0,IF(Y30="no",0,VLOOKUP($A30,'CAPEX Categories'!$A$2:$C$18,3,FALSE)))</f>
        <v>0.1</v>
      </c>
      <c r="AA30" s="53">
        <f t="shared" si="5"/>
        <v>0</v>
      </c>
      <c r="AB30" s="235">
        <v>0</v>
      </c>
      <c r="AC30" s="372" t="s">
        <v>107</v>
      </c>
      <c r="AD30" s="373">
        <f>IF(ISBLANK($A30),0,IF(AC30="no",0,VLOOKUP($A30,'CAPEX Categories'!$A$2:$C$18,3,FALSE)))</f>
        <v>0.1</v>
      </c>
      <c r="AE30" s="53">
        <f t="shared" si="6"/>
        <v>0</v>
      </c>
      <c r="AF30" s="235">
        <v>0</v>
      </c>
      <c r="AG30" s="372" t="s">
        <v>107</v>
      </c>
      <c r="AH30" s="373">
        <f>IF(ISBLANK($A30),0,IF(AG30="no",0,VLOOKUP($A30,'CAPEX Categories'!$A$2:$C$18,3,FALSE)))</f>
        <v>0.1</v>
      </c>
      <c r="AI30" s="53">
        <f t="shared" si="7"/>
        <v>0</v>
      </c>
      <c r="AJ30" s="235">
        <v>0</v>
      </c>
      <c r="AK30" s="372" t="s">
        <v>107</v>
      </c>
      <c r="AL30" s="373">
        <f>IF(ISBLANK($A30),0,IF(AK30="no",0,VLOOKUP($A30,'CAPEX Categories'!$A$2:$C$18,3,FALSE)))</f>
        <v>0.1</v>
      </c>
      <c r="AM30" s="53">
        <f t="shared" si="8"/>
        <v>0</v>
      </c>
      <c r="AN30" s="235">
        <v>0</v>
      </c>
      <c r="AO30" s="372" t="s">
        <v>107</v>
      </c>
      <c r="AP30" s="373">
        <f>IF(ISBLANK($A30),0,IF(AO30="no",0,VLOOKUP($A30,'CAPEX Categories'!$A$2:$C$18,3,FALSE)))</f>
        <v>0.1</v>
      </c>
      <c r="AQ30" s="53">
        <f t="shared" si="9"/>
        <v>0</v>
      </c>
      <c r="AR30" s="235">
        <v>0</v>
      </c>
      <c r="AS30" s="372" t="s">
        <v>107</v>
      </c>
      <c r="AT30" s="373">
        <f>IF(ISBLANK(A30),0,IF(AS30="no",0,VLOOKUP(A30,'CAPEX Categories'!$A$2:$C$18,3,FALSE)))</f>
        <v>0.1</v>
      </c>
      <c r="AU30" s="53">
        <f t="shared" si="10"/>
        <v>0</v>
      </c>
      <c r="AV30" s="51"/>
      <c r="AW30" s="51"/>
      <c r="AX30" s="51"/>
    </row>
    <row r="31" spans="1:59" ht="14.45" customHeight="1" x14ac:dyDescent="0.25">
      <c r="A31" s="531"/>
      <c r="B31" s="532"/>
      <c r="C31" s="538"/>
      <c r="D31" s="236">
        <v>0</v>
      </c>
      <c r="E31" s="374" t="s">
        <v>106</v>
      </c>
      <c r="F31" s="375">
        <f>IF(ISBLANK($A31),0,IF(E31="no",0,VLOOKUP($A31,'CAPEX Categories'!$A$2:$C$18,3,FALSE)))</f>
        <v>0</v>
      </c>
      <c r="G31" s="54">
        <f t="shared" si="0"/>
        <v>0</v>
      </c>
      <c r="H31" s="236">
        <v>0</v>
      </c>
      <c r="I31" s="374" t="s">
        <v>106</v>
      </c>
      <c r="J31" s="375">
        <f>IF(ISBLANK($A31),0,IF(I31="no",0,VLOOKUP($A31,'CAPEX Categories'!$A$2:$C$18,3,FALSE)))</f>
        <v>0</v>
      </c>
      <c r="K31" s="54">
        <f t="shared" si="1"/>
        <v>0</v>
      </c>
      <c r="L31" s="236">
        <v>0</v>
      </c>
      <c r="M31" s="374" t="s">
        <v>106</v>
      </c>
      <c r="N31" s="375">
        <f>IF(ISBLANK($A31),0,IF(M31="no",0,VLOOKUP($A31,'CAPEX Categories'!$A$2:$C$18,3,FALSE)))</f>
        <v>0</v>
      </c>
      <c r="O31" s="54">
        <f t="shared" si="2"/>
        <v>0</v>
      </c>
      <c r="P31" s="236">
        <v>0</v>
      </c>
      <c r="Q31" s="374" t="s">
        <v>106</v>
      </c>
      <c r="R31" s="375">
        <f>IF(ISBLANK($A31),0,IF(Q31="no",0,VLOOKUP($A31,'CAPEX Categories'!$A$2:$C$18,3,FALSE)))</f>
        <v>0</v>
      </c>
      <c r="S31" s="54">
        <f t="shared" si="3"/>
        <v>0</v>
      </c>
      <c r="T31" s="236">
        <v>0</v>
      </c>
      <c r="U31" s="374" t="s">
        <v>106</v>
      </c>
      <c r="V31" s="375">
        <f>IF(ISBLANK($A31),0,IF(U31="no",0,VLOOKUP($A31,'CAPEX Categories'!$A$2:$C$18,3,FALSE)))</f>
        <v>0</v>
      </c>
      <c r="W31" s="54">
        <f t="shared" si="4"/>
        <v>0</v>
      </c>
      <c r="X31" s="236">
        <v>0</v>
      </c>
      <c r="Y31" s="374" t="s">
        <v>106</v>
      </c>
      <c r="Z31" s="375">
        <f>IF(ISBLANK($A31),0,IF(Y31="no",0,VLOOKUP($A31,'CAPEX Categories'!$A$2:$C$18,3,FALSE)))</f>
        <v>0</v>
      </c>
      <c r="AA31" s="54">
        <f t="shared" si="5"/>
        <v>0</v>
      </c>
      <c r="AB31" s="236">
        <v>0</v>
      </c>
      <c r="AC31" s="374" t="s">
        <v>106</v>
      </c>
      <c r="AD31" s="375">
        <f>IF(ISBLANK($A31),0,IF(AC31="no",0,VLOOKUP($A31,'CAPEX Categories'!$A$2:$C$18,3,FALSE)))</f>
        <v>0</v>
      </c>
      <c r="AE31" s="54">
        <f t="shared" si="6"/>
        <v>0</v>
      </c>
      <c r="AF31" s="236">
        <v>0</v>
      </c>
      <c r="AG31" s="374" t="s">
        <v>106</v>
      </c>
      <c r="AH31" s="375">
        <f>IF(ISBLANK($A31),0,IF(AG31="no",0,VLOOKUP($A31,'CAPEX Categories'!$A$2:$C$18,3,FALSE)))</f>
        <v>0</v>
      </c>
      <c r="AI31" s="54">
        <f t="shared" si="7"/>
        <v>0</v>
      </c>
      <c r="AJ31" s="236">
        <v>0</v>
      </c>
      <c r="AK31" s="374" t="s">
        <v>106</v>
      </c>
      <c r="AL31" s="375">
        <f>IF(ISBLANK($A31),0,IF(AK31="no",0,VLOOKUP($A31,'CAPEX Categories'!$A$2:$C$18,3,FALSE)))</f>
        <v>0</v>
      </c>
      <c r="AM31" s="54">
        <f t="shared" si="8"/>
        <v>0</v>
      </c>
      <c r="AN31" s="236">
        <v>0</v>
      </c>
      <c r="AO31" s="374" t="s">
        <v>106</v>
      </c>
      <c r="AP31" s="375">
        <f>IF(ISBLANK($A31),0,IF(AO31="no",0,VLOOKUP($A31,'CAPEX Categories'!$A$2:$C$18,3,FALSE)))</f>
        <v>0</v>
      </c>
      <c r="AQ31" s="54">
        <f t="shared" si="9"/>
        <v>0</v>
      </c>
      <c r="AR31" s="236">
        <v>0</v>
      </c>
      <c r="AS31" s="374" t="s">
        <v>106</v>
      </c>
      <c r="AT31" s="375">
        <f>IF(ISBLANK(A31),0,IF(AS31="no",0,VLOOKUP(A31,'CAPEX Categories'!$A$2:$C$18,3,FALSE)))</f>
        <v>0</v>
      </c>
      <c r="AU31" s="54">
        <f t="shared" si="10"/>
        <v>0</v>
      </c>
      <c r="AV31" s="51"/>
      <c r="AW31" s="51"/>
      <c r="AX31" s="51"/>
    </row>
    <row r="32" spans="1:59" ht="14.45" customHeight="1" x14ac:dyDescent="0.25">
      <c r="A32" s="533" t="s">
        <v>133</v>
      </c>
      <c r="B32" s="534"/>
      <c r="C32" s="527" t="s">
        <v>135</v>
      </c>
      <c r="D32" s="235">
        <v>0</v>
      </c>
      <c r="E32" s="372" t="s">
        <v>107</v>
      </c>
      <c r="F32" s="373">
        <f>IF(ISBLANK($A32),0,IF(E32="no",0,VLOOKUP($A32,'CAPEX Categories'!$A$2:$C$18,3,FALSE)))</f>
        <v>0.1</v>
      </c>
      <c r="G32" s="53">
        <f t="shared" si="0"/>
        <v>0</v>
      </c>
      <c r="H32" s="235">
        <v>0</v>
      </c>
      <c r="I32" s="372" t="s">
        <v>107</v>
      </c>
      <c r="J32" s="373">
        <f>IF(ISBLANK($A32),0,IF(I32="no",0,VLOOKUP($A32,'CAPEX Categories'!$A$2:$C$18,3,FALSE)))</f>
        <v>0.1</v>
      </c>
      <c r="K32" s="53">
        <f t="shared" si="1"/>
        <v>0</v>
      </c>
      <c r="L32" s="235">
        <v>0</v>
      </c>
      <c r="M32" s="372" t="s">
        <v>107</v>
      </c>
      <c r="N32" s="373">
        <f>IF(ISBLANK($A32),0,IF(M32="no",0,VLOOKUP($A32,'CAPEX Categories'!$A$2:$C$18,3,FALSE)))</f>
        <v>0.1</v>
      </c>
      <c r="O32" s="53">
        <f t="shared" si="2"/>
        <v>0</v>
      </c>
      <c r="P32" s="235">
        <v>0</v>
      </c>
      <c r="Q32" s="372" t="s">
        <v>107</v>
      </c>
      <c r="R32" s="373">
        <f>IF(ISBLANK($A32),0,IF(Q32="no",0,VLOOKUP($A32,'CAPEX Categories'!$A$2:$C$18,3,FALSE)))</f>
        <v>0.1</v>
      </c>
      <c r="S32" s="53">
        <f t="shared" si="3"/>
        <v>0</v>
      </c>
      <c r="T32" s="235">
        <v>0</v>
      </c>
      <c r="U32" s="372" t="s">
        <v>107</v>
      </c>
      <c r="V32" s="373">
        <f>IF(ISBLANK($A32),0,IF(U32="no",0,VLOOKUP($A32,'CAPEX Categories'!$A$2:$C$18,3,FALSE)))</f>
        <v>0.1</v>
      </c>
      <c r="W32" s="53">
        <f t="shared" si="4"/>
        <v>0</v>
      </c>
      <c r="X32" s="235">
        <v>0</v>
      </c>
      <c r="Y32" s="372" t="s">
        <v>107</v>
      </c>
      <c r="Z32" s="373">
        <f>IF(ISBLANK($A32),0,IF(Y32="no",0,VLOOKUP($A32,'CAPEX Categories'!$A$2:$C$18,3,FALSE)))</f>
        <v>0.1</v>
      </c>
      <c r="AA32" s="53">
        <f t="shared" si="5"/>
        <v>0</v>
      </c>
      <c r="AB32" s="235">
        <v>0</v>
      </c>
      <c r="AC32" s="372" t="s">
        <v>107</v>
      </c>
      <c r="AD32" s="373">
        <f>IF(ISBLANK($A32),0,IF(AC32="no",0,VLOOKUP($A32,'CAPEX Categories'!$A$2:$C$18,3,FALSE)))</f>
        <v>0.1</v>
      </c>
      <c r="AE32" s="53">
        <f t="shared" si="6"/>
        <v>0</v>
      </c>
      <c r="AF32" s="235">
        <v>0</v>
      </c>
      <c r="AG32" s="372" t="s">
        <v>107</v>
      </c>
      <c r="AH32" s="373">
        <f>IF(ISBLANK($A32),0,IF(AG32="no",0,VLOOKUP($A32,'CAPEX Categories'!$A$2:$C$18,3,FALSE)))</f>
        <v>0.1</v>
      </c>
      <c r="AI32" s="53">
        <f t="shared" si="7"/>
        <v>0</v>
      </c>
      <c r="AJ32" s="235">
        <v>0</v>
      </c>
      <c r="AK32" s="372" t="s">
        <v>107</v>
      </c>
      <c r="AL32" s="373">
        <f>IF(ISBLANK($A32),0,IF(AK32="no",0,VLOOKUP($A32,'CAPEX Categories'!$A$2:$C$18,3,FALSE)))</f>
        <v>0.1</v>
      </c>
      <c r="AM32" s="53">
        <f t="shared" si="8"/>
        <v>0</v>
      </c>
      <c r="AN32" s="235">
        <v>0</v>
      </c>
      <c r="AO32" s="372" t="s">
        <v>107</v>
      </c>
      <c r="AP32" s="373">
        <f>IF(ISBLANK($A32),0,IF(AO32="no",0,VLOOKUP($A32,'CAPEX Categories'!$A$2:$C$18,3,FALSE)))</f>
        <v>0.1</v>
      </c>
      <c r="AQ32" s="53">
        <f t="shared" si="9"/>
        <v>0</v>
      </c>
      <c r="AR32" s="235">
        <v>0</v>
      </c>
      <c r="AS32" s="372" t="s">
        <v>107</v>
      </c>
      <c r="AT32" s="373">
        <f>IF(ISBLANK(A32),0,IF(AS32="no",0,VLOOKUP(A32,'CAPEX Categories'!$A$2:$C$18,3,FALSE)))</f>
        <v>0.1</v>
      </c>
      <c r="AU32" s="53">
        <f t="shared" si="10"/>
        <v>0</v>
      </c>
      <c r="AV32" s="51"/>
      <c r="AW32" s="51"/>
      <c r="AX32" s="51"/>
    </row>
    <row r="33" spans="1:50" ht="14.45" customHeight="1" x14ac:dyDescent="0.25">
      <c r="A33" s="535"/>
      <c r="B33" s="536"/>
      <c r="C33" s="528"/>
      <c r="D33" s="236">
        <v>0</v>
      </c>
      <c r="E33" s="374" t="s">
        <v>106</v>
      </c>
      <c r="F33" s="375">
        <f>IF(ISBLANK($A33),0,IF(E33="no",0,VLOOKUP($A33,'CAPEX Categories'!$A$2:$C$18,3,FALSE)))</f>
        <v>0</v>
      </c>
      <c r="G33" s="54">
        <f t="shared" si="0"/>
        <v>0</v>
      </c>
      <c r="H33" s="236">
        <v>0</v>
      </c>
      <c r="I33" s="374" t="s">
        <v>106</v>
      </c>
      <c r="J33" s="375">
        <f>IF(ISBLANK($A33),0,IF(I33="no",0,VLOOKUP($A33,'CAPEX Categories'!$A$2:$C$18,3,FALSE)))</f>
        <v>0</v>
      </c>
      <c r="K33" s="54">
        <f t="shared" si="1"/>
        <v>0</v>
      </c>
      <c r="L33" s="236">
        <v>0</v>
      </c>
      <c r="M33" s="374" t="s">
        <v>106</v>
      </c>
      <c r="N33" s="375">
        <f>IF(ISBLANK($A33),0,IF(M33="no",0,VLOOKUP($A33,'CAPEX Categories'!$A$2:$C$18,3,FALSE)))</f>
        <v>0</v>
      </c>
      <c r="O33" s="54">
        <f t="shared" si="2"/>
        <v>0</v>
      </c>
      <c r="P33" s="236">
        <v>0</v>
      </c>
      <c r="Q33" s="374" t="s">
        <v>106</v>
      </c>
      <c r="R33" s="375">
        <f>IF(ISBLANK($A33),0,IF(Q33="no",0,VLOOKUP($A33,'CAPEX Categories'!$A$2:$C$18,3,FALSE)))</f>
        <v>0</v>
      </c>
      <c r="S33" s="54">
        <f t="shared" si="3"/>
        <v>0</v>
      </c>
      <c r="T33" s="236">
        <v>0</v>
      </c>
      <c r="U33" s="374" t="s">
        <v>106</v>
      </c>
      <c r="V33" s="375">
        <f>IF(ISBLANK($A33),0,IF(U33="no",0,VLOOKUP($A33,'CAPEX Categories'!$A$2:$C$18,3,FALSE)))</f>
        <v>0</v>
      </c>
      <c r="W33" s="54">
        <f t="shared" si="4"/>
        <v>0</v>
      </c>
      <c r="X33" s="236">
        <v>0</v>
      </c>
      <c r="Y33" s="374" t="s">
        <v>106</v>
      </c>
      <c r="Z33" s="375">
        <f>IF(ISBLANK($A33),0,IF(Y33="no",0,VLOOKUP($A33,'CAPEX Categories'!$A$2:$C$18,3,FALSE)))</f>
        <v>0</v>
      </c>
      <c r="AA33" s="54">
        <f t="shared" si="5"/>
        <v>0</v>
      </c>
      <c r="AB33" s="236">
        <v>0</v>
      </c>
      <c r="AC33" s="374" t="s">
        <v>106</v>
      </c>
      <c r="AD33" s="375">
        <f>IF(ISBLANK($A33),0,IF(AC33="no",0,VLOOKUP($A33,'CAPEX Categories'!$A$2:$C$18,3,FALSE)))</f>
        <v>0</v>
      </c>
      <c r="AE33" s="54">
        <f t="shared" si="6"/>
        <v>0</v>
      </c>
      <c r="AF33" s="236">
        <v>0</v>
      </c>
      <c r="AG33" s="374" t="s">
        <v>106</v>
      </c>
      <c r="AH33" s="375">
        <f>IF(ISBLANK($A33),0,IF(AG33="no",0,VLOOKUP($A33,'CAPEX Categories'!$A$2:$C$18,3,FALSE)))</f>
        <v>0</v>
      </c>
      <c r="AI33" s="54">
        <f t="shared" si="7"/>
        <v>0</v>
      </c>
      <c r="AJ33" s="236">
        <v>0</v>
      </c>
      <c r="AK33" s="374" t="s">
        <v>106</v>
      </c>
      <c r="AL33" s="375">
        <f>IF(ISBLANK($A33),0,IF(AK33="no",0,VLOOKUP($A33,'CAPEX Categories'!$A$2:$C$18,3,FALSE)))</f>
        <v>0</v>
      </c>
      <c r="AM33" s="54">
        <f t="shared" si="8"/>
        <v>0</v>
      </c>
      <c r="AN33" s="236">
        <v>0</v>
      </c>
      <c r="AO33" s="374" t="s">
        <v>106</v>
      </c>
      <c r="AP33" s="375">
        <f>IF(ISBLANK($A33),0,IF(AO33="no",0,VLOOKUP($A33,'CAPEX Categories'!$A$2:$C$18,3,FALSE)))</f>
        <v>0</v>
      </c>
      <c r="AQ33" s="54">
        <f t="shared" si="9"/>
        <v>0</v>
      </c>
      <c r="AR33" s="236">
        <v>0</v>
      </c>
      <c r="AS33" s="374" t="s">
        <v>106</v>
      </c>
      <c r="AT33" s="375">
        <f>IF(ISBLANK(A33),0,IF(AS33="no",0,VLOOKUP(A33,'CAPEX Categories'!$A$2:$C$18,3,FALSE)))</f>
        <v>0</v>
      </c>
      <c r="AU33" s="54">
        <f t="shared" si="10"/>
        <v>0</v>
      </c>
      <c r="AV33" s="51"/>
      <c r="AW33" s="51"/>
      <c r="AX33" s="51"/>
    </row>
    <row r="34" spans="1:50" ht="14.45" customHeight="1" x14ac:dyDescent="0.25">
      <c r="A34" s="529" t="s">
        <v>134</v>
      </c>
      <c r="B34" s="530"/>
      <c r="C34" s="537" t="s">
        <v>208</v>
      </c>
      <c r="D34" s="235">
        <v>0</v>
      </c>
      <c r="E34" s="372" t="s">
        <v>107</v>
      </c>
      <c r="F34" s="373">
        <f>IF(ISBLANK($A34),0,IF(E34="no",0,VLOOKUP($A34,'CAPEX Categories'!$A$2:$C$18,3,FALSE)))</f>
        <v>0.15</v>
      </c>
      <c r="G34" s="53">
        <f t="shared" si="0"/>
        <v>0</v>
      </c>
      <c r="H34" s="235">
        <v>0</v>
      </c>
      <c r="I34" s="372" t="s">
        <v>107</v>
      </c>
      <c r="J34" s="373">
        <f>IF(ISBLANK($A34),0,IF(I34="no",0,VLOOKUP($A34,'CAPEX Categories'!$A$2:$C$18,3,FALSE)))</f>
        <v>0.15</v>
      </c>
      <c r="K34" s="53">
        <f t="shared" si="1"/>
        <v>0</v>
      </c>
      <c r="L34" s="235">
        <v>0</v>
      </c>
      <c r="M34" s="372" t="s">
        <v>107</v>
      </c>
      <c r="N34" s="373">
        <f>IF(ISBLANK($A34),0,IF(M34="no",0,VLOOKUP($A34,'CAPEX Categories'!$A$2:$C$18,3,FALSE)))</f>
        <v>0.15</v>
      </c>
      <c r="O34" s="53">
        <f t="shared" si="2"/>
        <v>0</v>
      </c>
      <c r="P34" s="235">
        <v>0</v>
      </c>
      <c r="Q34" s="372" t="s">
        <v>107</v>
      </c>
      <c r="R34" s="373">
        <f>IF(ISBLANK($A34),0,IF(Q34="no",0,VLOOKUP($A34,'CAPEX Categories'!$A$2:$C$18,3,FALSE)))</f>
        <v>0.15</v>
      </c>
      <c r="S34" s="53">
        <f t="shared" si="3"/>
        <v>0</v>
      </c>
      <c r="T34" s="235">
        <v>0</v>
      </c>
      <c r="U34" s="372" t="s">
        <v>107</v>
      </c>
      <c r="V34" s="373">
        <f>IF(ISBLANK($A34),0,IF(U34="no",0,VLOOKUP($A34,'CAPEX Categories'!$A$2:$C$18,3,FALSE)))</f>
        <v>0.15</v>
      </c>
      <c r="W34" s="53">
        <f t="shared" si="4"/>
        <v>0</v>
      </c>
      <c r="X34" s="235">
        <v>0</v>
      </c>
      <c r="Y34" s="372" t="s">
        <v>107</v>
      </c>
      <c r="Z34" s="373">
        <f>IF(ISBLANK($A34),0,IF(Y34="no",0,VLOOKUP($A34,'CAPEX Categories'!$A$2:$C$18,3,FALSE)))</f>
        <v>0.15</v>
      </c>
      <c r="AA34" s="53">
        <f t="shared" si="5"/>
        <v>0</v>
      </c>
      <c r="AB34" s="235">
        <v>0</v>
      </c>
      <c r="AC34" s="372" t="s">
        <v>107</v>
      </c>
      <c r="AD34" s="373">
        <f>IF(ISBLANK($A34),0,IF(AC34="no",0,VLOOKUP($A34,'CAPEX Categories'!$A$2:$C$18,3,FALSE)))</f>
        <v>0.15</v>
      </c>
      <c r="AE34" s="53">
        <f t="shared" si="6"/>
        <v>0</v>
      </c>
      <c r="AF34" s="235">
        <v>0</v>
      </c>
      <c r="AG34" s="372" t="s">
        <v>107</v>
      </c>
      <c r="AH34" s="373">
        <f>IF(ISBLANK($A34),0,IF(AG34="no",0,VLOOKUP($A34,'CAPEX Categories'!$A$2:$C$18,3,FALSE)))</f>
        <v>0.15</v>
      </c>
      <c r="AI34" s="53">
        <f t="shared" si="7"/>
        <v>0</v>
      </c>
      <c r="AJ34" s="235">
        <v>0</v>
      </c>
      <c r="AK34" s="372" t="s">
        <v>107</v>
      </c>
      <c r="AL34" s="373">
        <f>IF(ISBLANK($A34),0,IF(AK34="no",0,VLOOKUP($A34,'CAPEX Categories'!$A$2:$C$18,3,FALSE)))</f>
        <v>0.15</v>
      </c>
      <c r="AM34" s="53">
        <f t="shared" si="8"/>
        <v>0</v>
      </c>
      <c r="AN34" s="235">
        <v>0</v>
      </c>
      <c r="AO34" s="372" t="s">
        <v>107</v>
      </c>
      <c r="AP34" s="373">
        <f>IF(ISBLANK($A34),0,IF(AO34="no",0,VLOOKUP($A34,'CAPEX Categories'!$A$2:$C$18,3,FALSE)))</f>
        <v>0.15</v>
      </c>
      <c r="AQ34" s="53">
        <f t="shared" si="9"/>
        <v>0</v>
      </c>
      <c r="AR34" s="235">
        <v>0</v>
      </c>
      <c r="AS34" s="372" t="s">
        <v>107</v>
      </c>
      <c r="AT34" s="373">
        <f>IF(ISBLANK(A34),0,IF(AS34="no",0,VLOOKUP(A34,'CAPEX Categories'!$A$2:$C$18,3,FALSE)))</f>
        <v>0.15</v>
      </c>
      <c r="AU34" s="53">
        <f t="shared" si="10"/>
        <v>0</v>
      </c>
      <c r="AV34" s="51"/>
      <c r="AW34" s="51"/>
      <c r="AX34" s="51"/>
    </row>
    <row r="35" spans="1:50" ht="14.45" customHeight="1" x14ac:dyDescent="0.25">
      <c r="A35" s="531"/>
      <c r="B35" s="532"/>
      <c r="C35" s="538"/>
      <c r="D35" s="236">
        <v>0</v>
      </c>
      <c r="E35" s="374" t="s">
        <v>106</v>
      </c>
      <c r="F35" s="375">
        <f>IF(ISBLANK($A35),0,IF(E35="no",0,VLOOKUP($A35,'CAPEX Categories'!$A$2:$C$18,3,FALSE)))</f>
        <v>0</v>
      </c>
      <c r="G35" s="54">
        <f t="shared" si="0"/>
        <v>0</v>
      </c>
      <c r="H35" s="236">
        <v>0</v>
      </c>
      <c r="I35" s="374" t="s">
        <v>106</v>
      </c>
      <c r="J35" s="375">
        <f>IF(ISBLANK($A35),0,IF(I35="no",0,VLOOKUP($A35,'CAPEX Categories'!$A$2:$C$18,3,FALSE)))</f>
        <v>0</v>
      </c>
      <c r="K35" s="54">
        <f t="shared" si="1"/>
        <v>0</v>
      </c>
      <c r="L35" s="236">
        <v>0</v>
      </c>
      <c r="M35" s="374" t="s">
        <v>106</v>
      </c>
      <c r="N35" s="375">
        <f>IF(ISBLANK($A35),0,IF(M35="no",0,VLOOKUP($A35,'CAPEX Categories'!$A$2:$C$18,3,FALSE)))</f>
        <v>0</v>
      </c>
      <c r="O35" s="54">
        <f t="shared" si="2"/>
        <v>0</v>
      </c>
      <c r="P35" s="236">
        <v>0</v>
      </c>
      <c r="Q35" s="374" t="s">
        <v>106</v>
      </c>
      <c r="R35" s="375">
        <f>IF(ISBLANK($A35),0,IF(Q35="no",0,VLOOKUP($A35,'CAPEX Categories'!$A$2:$C$18,3,FALSE)))</f>
        <v>0</v>
      </c>
      <c r="S35" s="54">
        <f t="shared" si="3"/>
        <v>0</v>
      </c>
      <c r="T35" s="236">
        <v>0</v>
      </c>
      <c r="U35" s="374" t="s">
        <v>106</v>
      </c>
      <c r="V35" s="375">
        <f>IF(ISBLANK($A35),0,IF(U35="no",0,VLOOKUP($A35,'CAPEX Categories'!$A$2:$C$18,3,FALSE)))</f>
        <v>0</v>
      </c>
      <c r="W35" s="54">
        <f t="shared" si="4"/>
        <v>0</v>
      </c>
      <c r="X35" s="236">
        <v>0</v>
      </c>
      <c r="Y35" s="374" t="s">
        <v>106</v>
      </c>
      <c r="Z35" s="375">
        <f>IF(ISBLANK($A35),0,IF(Y35="no",0,VLOOKUP($A35,'CAPEX Categories'!$A$2:$C$18,3,FALSE)))</f>
        <v>0</v>
      </c>
      <c r="AA35" s="54">
        <f t="shared" si="5"/>
        <v>0</v>
      </c>
      <c r="AB35" s="236">
        <v>0</v>
      </c>
      <c r="AC35" s="374" t="s">
        <v>106</v>
      </c>
      <c r="AD35" s="375">
        <f>IF(ISBLANK($A35),0,IF(AC35="no",0,VLOOKUP($A35,'CAPEX Categories'!$A$2:$C$18,3,FALSE)))</f>
        <v>0</v>
      </c>
      <c r="AE35" s="54">
        <f t="shared" si="6"/>
        <v>0</v>
      </c>
      <c r="AF35" s="236">
        <v>0</v>
      </c>
      <c r="AG35" s="374" t="s">
        <v>106</v>
      </c>
      <c r="AH35" s="375">
        <f>IF(ISBLANK($A35),0,IF(AG35="no",0,VLOOKUP($A35,'CAPEX Categories'!$A$2:$C$18,3,FALSE)))</f>
        <v>0</v>
      </c>
      <c r="AI35" s="54">
        <f t="shared" si="7"/>
        <v>0</v>
      </c>
      <c r="AJ35" s="236">
        <v>0</v>
      </c>
      <c r="AK35" s="374" t="s">
        <v>106</v>
      </c>
      <c r="AL35" s="375">
        <f>IF(ISBLANK($A35),0,IF(AK35="no",0,VLOOKUP($A35,'CAPEX Categories'!$A$2:$C$18,3,FALSE)))</f>
        <v>0</v>
      </c>
      <c r="AM35" s="54">
        <f t="shared" si="8"/>
        <v>0</v>
      </c>
      <c r="AN35" s="236">
        <v>0</v>
      </c>
      <c r="AO35" s="374" t="s">
        <v>106</v>
      </c>
      <c r="AP35" s="375">
        <f>IF(ISBLANK($A35),0,IF(AO35="no",0,VLOOKUP($A35,'CAPEX Categories'!$A$2:$C$18,3,FALSE)))</f>
        <v>0</v>
      </c>
      <c r="AQ35" s="54">
        <f t="shared" si="9"/>
        <v>0</v>
      </c>
      <c r="AR35" s="236">
        <v>0</v>
      </c>
      <c r="AS35" s="374" t="s">
        <v>106</v>
      </c>
      <c r="AT35" s="375">
        <f>IF(ISBLANK(A35),0,IF(AS35="no",0,VLOOKUP(A35,'CAPEX Categories'!$A$2:$C$18,3,FALSE)))</f>
        <v>0</v>
      </c>
      <c r="AU35" s="54">
        <f t="shared" si="10"/>
        <v>0</v>
      </c>
      <c r="AV35" s="51"/>
      <c r="AW35" s="51"/>
      <c r="AX35" s="51"/>
    </row>
    <row r="36" spans="1:50" ht="14.45" customHeight="1" x14ac:dyDescent="0.25">
      <c r="A36" s="533" t="s">
        <v>139</v>
      </c>
      <c r="B36" s="534"/>
      <c r="C36" s="527" t="s">
        <v>129</v>
      </c>
      <c r="D36" s="235">
        <v>0</v>
      </c>
      <c r="E36" s="372" t="s">
        <v>107</v>
      </c>
      <c r="F36" s="373">
        <f>IF(ISBLANK($A36),0,IF(E36="no",0,VLOOKUP($A36,'CAPEX Categories'!$A$2:$C$18,3,FALSE)))</f>
        <v>0.25</v>
      </c>
      <c r="G36" s="53">
        <f t="shared" si="0"/>
        <v>0</v>
      </c>
      <c r="H36" s="235">
        <v>0</v>
      </c>
      <c r="I36" s="372" t="s">
        <v>107</v>
      </c>
      <c r="J36" s="373">
        <f>IF(ISBLANK($A36),0,IF(I36="no",0,VLOOKUP($A36,'CAPEX Categories'!$A$2:$C$18,3,FALSE)))</f>
        <v>0.25</v>
      </c>
      <c r="K36" s="53">
        <f t="shared" si="1"/>
        <v>0</v>
      </c>
      <c r="L36" s="235">
        <v>0</v>
      </c>
      <c r="M36" s="372" t="s">
        <v>107</v>
      </c>
      <c r="N36" s="373">
        <f>IF(ISBLANK($A36),0,IF(M36="no",0,VLOOKUP($A36,'CAPEX Categories'!$A$2:$C$18,3,FALSE)))</f>
        <v>0.25</v>
      </c>
      <c r="O36" s="53">
        <f t="shared" si="2"/>
        <v>0</v>
      </c>
      <c r="P36" s="235">
        <v>0</v>
      </c>
      <c r="Q36" s="372" t="s">
        <v>107</v>
      </c>
      <c r="R36" s="373">
        <f>IF(ISBLANK($A36),0,IF(Q36="no",0,VLOOKUP($A36,'CAPEX Categories'!$A$2:$C$18,3,FALSE)))</f>
        <v>0.25</v>
      </c>
      <c r="S36" s="53">
        <f t="shared" si="3"/>
        <v>0</v>
      </c>
      <c r="T36" s="235">
        <v>0</v>
      </c>
      <c r="U36" s="372" t="s">
        <v>107</v>
      </c>
      <c r="V36" s="373">
        <f>IF(ISBLANK($A36),0,IF(U36="no",0,VLOOKUP($A36,'CAPEX Categories'!$A$2:$C$18,3,FALSE)))</f>
        <v>0.25</v>
      </c>
      <c r="W36" s="53">
        <f t="shared" si="4"/>
        <v>0</v>
      </c>
      <c r="X36" s="235">
        <v>0</v>
      </c>
      <c r="Y36" s="372" t="s">
        <v>107</v>
      </c>
      <c r="Z36" s="373">
        <f>IF(ISBLANK($A36),0,IF(Y36="no",0,VLOOKUP($A36,'CAPEX Categories'!$A$2:$C$18,3,FALSE)))</f>
        <v>0.25</v>
      </c>
      <c r="AA36" s="53">
        <f t="shared" si="5"/>
        <v>0</v>
      </c>
      <c r="AB36" s="235">
        <v>0</v>
      </c>
      <c r="AC36" s="372" t="s">
        <v>107</v>
      </c>
      <c r="AD36" s="373">
        <f>IF(ISBLANK($A36),0,IF(AC36="no",0,VLOOKUP($A36,'CAPEX Categories'!$A$2:$C$18,3,FALSE)))</f>
        <v>0.25</v>
      </c>
      <c r="AE36" s="53">
        <f t="shared" si="6"/>
        <v>0</v>
      </c>
      <c r="AF36" s="235">
        <v>0</v>
      </c>
      <c r="AG36" s="372" t="s">
        <v>107</v>
      </c>
      <c r="AH36" s="373">
        <f>IF(ISBLANK($A36),0,IF(AG36="no",0,VLOOKUP($A36,'CAPEX Categories'!$A$2:$C$18,3,FALSE)))</f>
        <v>0.25</v>
      </c>
      <c r="AI36" s="53">
        <f t="shared" si="7"/>
        <v>0</v>
      </c>
      <c r="AJ36" s="235">
        <v>0</v>
      </c>
      <c r="AK36" s="372" t="s">
        <v>107</v>
      </c>
      <c r="AL36" s="373">
        <f>IF(ISBLANK($A36),0,IF(AK36="no",0,VLOOKUP($A36,'CAPEX Categories'!$A$2:$C$18,3,FALSE)))</f>
        <v>0.25</v>
      </c>
      <c r="AM36" s="53">
        <f t="shared" si="8"/>
        <v>0</v>
      </c>
      <c r="AN36" s="235">
        <v>0</v>
      </c>
      <c r="AO36" s="372" t="s">
        <v>107</v>
      </c>
      <c r="AP36" s="373">
        <f>IF(ISBLANK($A36),0,IF(AO36="no",0,VLOOKUP($A36,'CAPEX Categories'!$A$2:$C$18,3,FALSE)))</f>
        <v>0.25</v>
      </c>
      <c r="AQ36" s="53">
        <f t="shared" si="9"/>
        <v>0</v>
      </c>
      <c r="AR36" s="235">
        <v>0</v>
      </c>
      <c r="AS36" s="372" t="s">
        <v>107</v>
      </c>
      <c r="AT36" s="373">
        <f>IF(ISBLANK(A36),0,IF(AS36="no",0,VLOOKUP(A36,'CAPEX Categories'!$A$2:$C$18,3,FALSE)))</f>
        <v>0.25</v>
      </c>
      <c r="AU36" s="53">
        <f t="shared" si="10"/>
        <v>0</v>
      </c>
      <c r="AV36" s="51"/>
      <c r="AW36" s="51"/>
      <c r="AX36" s="51"/>
    </row>
    <row r="37" spans="1:50" ht="14.45" customHeight="1" x14ac:dyDescent="0.25">
      <c r="A37" s="535"/>
      <c r="B37" s="536"/>
      <c r="C37" s="528"/>
      <c r="D37" s="236">
        <v>0</v>
      </c>
      <c r="E37" s="374" t="s">
        <v>106</v>
      </c>
      <c r="F37" s="375">
        <f>IF(ISBLANK($A37),0,IF(E37="no",0,VLOOKUP($A37,'CAPEX Categories'!$A$2:$C$18,3,FALSE)))</f>
        <v>0</v>
      </c>
      <c r="G37" s="54">
        <f t="shared" si="0"/>
        <v>0</v>
      </c>
      <c r="H37" s="236">
        <v>0</v>
      </c>
      <c r="I37" s="374" t="s">
        <v>106</v>
      </c>
      <c r="J37" s="375">
        <f>IF(ISBLANK($A37),0,IF(I37="no",0,VLOOKUP($A37,'CAPEX Categories'!$A$2:$C$18,3,FALSE)))</f>
        <v>0</v>
      </c>
      <c r="K37" s="54">
        <f t="shared" si="1"/>
        <v>0</v>
      </c>
      <c r="L37" s="236">
        <v>0</v>
      </c>
      <c r="M37" s="374" t="s">
        <v>106</v>
      </c>
      <c r="N37" s="375">
        <f>IF(ISBLANK($A37),0,IF(M37="no",0,VLOOKUP($A37,'CAPEX Categories'!$A$2:$C$18,3,FALSE)))</f>
        <v>0</v>
      </c>
      <c r="O37" s="54">
        <f t="shared" si="2"/>
        <v>0</v>
      </c>
      <c r="P37" s="236">
        <v>0</v>
      </c>
      <c r="Q37" s="374" t="s">
        <v>106</v>
      </c>
      <c r="R37" s="375">
        <f>IF(ISBLANK($A37),0,IF(Q37="no",0,VLOOKUP($A37,'CAPEX Categories'!$A$2:$C$18,3,FALSE)))</f>
        <v>0</v>
      </c>
      <c r="S37" s="54">
        <f t="shared" si="3"/>
        <v>0</v>
      </c>
      <c r="T37" s="236">
        <v>0</v>
      </c>
      <c r="U37" s="374" t="s">
        <v>106</v>
      </c>
      <c r="V37" s="375">
        <f>IF(ISBLANK($A37),0,IF(U37="no",0,VLOOKUP($A37,'CAPEX Categories'!$A$2:$C$18,3,FALSE)))</f>
        <v>0</v>
      </c>
      <c r="W37" s="54">
        <f t="shared" si="4"/>
        <v>0</v>
      </c>
      <c r="X37" s="236">
        <v>0</v>
      </c>
      <c r="Y37" s="374" t="s">
        <v>106</v>
      </c>
      <c r="Z37" s="375">
        <f>IF(ISBLANK($A37),0,IF(Y37="no",0,VLOOKUP($A37,'CAPEX Categories'!$A$2:$C$18,3,FALSE)))</f>
        <v>0</v>
      </c>
      <c r="AA37" s="54">
        <f t="shared" si="5"/>
        <v>0</v>
      </c>
      <c r="AB37" s="236">
        <v>0</v>
      </c>
      <c r="AC37" s="374" t="s">
        <v>106</v>
      </c>
      <c r="AD37" s="375">
        <f>IF(ISBLANK($A37),0,IF(AC37="no",0,VLOOKUP($A37,'CAPEX Categories'!$A$2:$C$18,3,FALSE)))</f>
        <v>0</v>
      </c>
      <c r="AE37" s="54">
        <f t="shared" si="6"/>
        <v>0</v>
      </c>
      <c r="AF37" s="236">
        <v>0</v>
      </c>
      <c r="AG37" s="374" t="s">
        <v>106</v>
      </c>
      <c r="AH37" s="375">
        <f>IF(ISBLANK($A37),0,IF(AG37="no",0,VLOOKUP($A37,'CAPEX Categories'!$A$2:$C$18,3,FALSE)))</f>
        <v>0</v>
      </c>
      <c r="AI37" s="54">
        <f t="shared" si="7"/>
        <v>0</v>
      </c>
      <c r="AJ37" s="236">
        <v>0</v>
      </c>
      <c r="AK37" s="374" t="s">
        <v>106</v>
      </c>
      <c r="AL37" s="375">
        <f>IF(ISBLANK($A37),0,IF(AK37="no",0,VLOOKUP($A37,'CAPEX Categories'!$A$2:$C$18,3,FALSE)))</f>
        <v>0</v>
      </c>
      <c r="AM37" s="54">
        <f t="shared" si="8"/>
        <v>0</v>
      </c>
      <c r="AN37" s="236">
        <v>0</v>
      </c>
      <c r="AO37" s="374" t="s">
        <v>106</v>
      </c>
      <c r="AP37" s="375">
        <f>IF(ISBLANK($A37),0,IF(AO37="no",0,VLOOKUP($A37,'CAPEX Categories'!$A$2:$C$18,3,FALSE)))</f>
        <v>0</v>
      </c>
      <c r="AQ37" s="54">
        <f t="shared" si="9"/>
        <v>0</v>
      </c>
      <c r="AR37" s="236">
        <v>0</v>
      </c>
      <c r="AS37" s="374" t="s">
        <v>106</v>
      </c>
      <c r="AT37" s="375">
        <f>IF(ISBLANK(A37),0,IF(AS37="no",0,VLOOKUP(A37,'CAPEX Categories'!$A$2:$C$18,3,FALSE)))</f>
        <v>0</v>
      </c>
      <c r="AU37" s="54">
        <f t="shared" si="10"/>
        <v>0</v>
      </c>
      <c r="AV37" s="51"/>
      <c r="AW37" s="51"/>
      <c r="AX37" s="51"/>
    </row>
    <row r="38" spans="1:50" ht="14.45" customHeight="1" x14ac:dyDescent="0.25">
      <c r="A38" s="529" t="s">
        <v>140</v>
      </c>
      <c r="B38" s="530"/>
      <c r="C38" s="537" t="s">
        <v>130</v>
      </c>
      <c r="D38" s="235">
        <v>0</v>
      </c>
      <c r="E38" s="372" t="s">
        <v>107</v>
      </c>
      <c r="F38" s="373">
        <f>IF(ISBLANK($A38),0,IF(E38="no",0,VLOOKUP($A38,'CAPEX Categories'!$A$2:$C$18,3,FALSE)))</f>
        <v>0.25</v>
      </c>
      <c r="G38" s="53">
        <f t="shared" si="0"/>
        <v>0</v>
      </c>
      <c r="H38" s="235">
        <v>0</v>
      </c>
      <c r="I38" s="372" t="s">
        <v>107</v>
      </c>
      <c r="J38" s="373">
        <f>IF(ISBLANK($A38),0,IF(I38="no",0,VLOOKUP($A38,'CAPEX Categories'!$A$2:$C$18,3,FALSE)))</f>
        <v>0.25</v>
      </c>
      <c r="K38" s="53">
        <f t="shared" si="1"/>
        <v>0</v>
      </c>
      <c r="L38" s="235">
        <v>0</v>
      </c>
      <c r="M38" s="372" t="s">
        <v>107</v>
      </c>
      <c r="N38" s="373">
        <f>IF(ISBLANK($A38),0,IF(M38="no",0,VLOOKUP($A38,'CAPEX Categories'!$A$2:$C$18,3,FALSE)))</f>
        <v>0.25</v>
      </c>
      <c r="O38" s="53">
        <f t="shared" si="2"/>
        <v>0</v>
      </c>
      <c r="P38" s="235">
        <v>0</v>
      </c>
      <c r="Q38" s="372" t="s">
        <v>107</v>
      </c>
      <c r="R38" s="373">
        <f>IF(ISBLANK($A38),0,IF(Q38="no",0,VLOOKUP($A38,'CAPEX Categories'!$A$2:$C$18,3,FALSE)))</f>
        <v>0.25</v>
      </c>
      <c r="S38" s="53">
        <f t="shared" si="3"/>
        <v>0</v>
      </c>
      <c r="T38" s="235">
        <v>0</v>
      </c>
      <c r="U38" s="372" t="s">
        <v>107</v>
      </c>
      <c r="V38" s="373">
        <f>IF(ISBLANK($A38),0,IF(U38="no",0,VLOOKUP($A38,'CAPEX Categories'!$A$2:$C$18,3,FALSE)))</f>
        <v>0.25</v>
      </c>
      <c r="W38" s="53">
        <f t="shared" si="4"/>
        <v>0</v>
      </c>
      <c r="X38" s="235">
        <v>0</v>
      </c>
      <c r="Y38" s="372" t="s">
        <v>107</v>
      </c>
      <c r="Z38" s="373">
        <f>IF(ISBLANK($A38),0,IF(Y38="no",0,VLOOKUP($A38,'CAPEX Categories'!$A$2:$C$18,3,FALSE)))</f>
        <v>0.25</v>
      </c>
      <c r="AA38" s="53">
        <f t="shared" si="5"/>
        <v>0</v>
      </c>
      <c r="AB38" s="235">
        <v>0</v>
      </c>
      <c r="AC38" s="372" t="s">
        <v>107</v>
      </c>
      <c r="AD38" s="373">
        <f>IF(ISBLANK($A38),0,IF(AC38="no",0,VLOOKUP($A38,'CAPEX Categories'!$A$2:$C$18,3,FALSE)))</f>
        <v>0.25</v>
      </c>
      <c r="AE38" s="53">
        <f t="shared" si="6"/>
        <v>0</v>
      </c>
      <c r="AF38" s="235">
        <v>0</v>
      </c>
      <c r="AG38" s="372" t="s">
        <v>107</v>
      </c>
      <c r="AH38" s="373">
        <f>IF(ISBLANK($A38),0,IF(AG38="no",0,VLOOKUP($A38,'CAPEX Categories'!$A$2:$C$18,3,FALSE)))</f>
        <v>0.25</v>
      </c>
      <c r="AI38" s="53">
        <f t="shared" si="7"/>
        <v>0</v>
      </c>
      <c r="AJ38" s="235">
        <v>0</v>
      </c>
      <c r="AK38" s="372" t="s">
        <v>107</v>
      </c>
      <c r="AL38" s="373">
        <f>IF(ISBLANK($A38),0,IF(AK38="no",0,VLOOKUP($A38,'CAPEX Categories'!$A$2:$C$18,3,FALSE)))</f>
        <v>0.25</v>
      </c>
      <c r="AM38" s="53">
        <f t="shared" si="8"/>
        <v>0</v>
      </c>
      <c r="AN38" s="235">
        <v>0</v>
      </c>
      <c r="AO38" s="372" t="s">
        <v>107</v>
      </c>
      <c r="AP38" s="373">
        <f>IF(ISBLANK($A38),0,IF(AO38="no",0,VLOOKUP($A38,'CAPEX Categories'!$A$2:$C$18,3,FALSE)))</f>
        <v>0.25</v>
      </c>
      <c r="AQ38" s="53">
        <f t="shared" si="9"/>
        <v>0</v>
      </c>
      <c r="AR38" s="235">
        <v>0</v>
      </c>
      <c r="AS38" s="372" t="s">
        <v>107</v>
      </c>
      <c r="AT38" s="373">
        <f>IF(ISBLANK(A38),0,IF(AS38="no",0,VLOOKUP(A38,'CAPEX Categories'!$A$2:$C$18,3,FALSE)))</f>
        <v>0.25</v>
      </c>
      <c r="AU38" s="53">
        <f t="shared" si="10"/>
        <v>0</v>
      </c>
      <c r="AV38" s="51"/>
      <c r="AW38" s="51"/>
      <c r="AX38" s="51"/>
    </row>
    <row r="39" spans="1:50" ht="14.45" customHeight="1" x14ac:dyDescent="0.25">
      <c r="A39" s="531"/>
      <c r="B39" s="532"/>
      <c r="C39" s="538"/>
      <c r="D39" s="236">
        <v>0</v>
      </c>
      <c r="E39" s="374" t="s">
        <v>106</v>
      </c>
      <c r="F39" s="375">
        <f>IF(ISBLANK($A39),0,IF(E39="no",0,VLOOKUP($A39,'CAPEX Categories'!$A$2:$C$18,3,FALSE)))</f>
        <v>0</v>
      </c>
      <c r="G39" s="54">
        <f t="shared" si="0"/>
        <v>0</v>
      </c>
      <c r="H39" s="236">
        <v>0</v>
      </c>
      <c r="I39" s="374" t="s">
        <v>106</v>
      </c>
      <c r="J39" s="375">
        <f>IF(ISBLANK($A39),0,IF(I39="no",0,VLOOKUP($A39,'CAPEX Categories'!$A$2:$C$18,3,FALSE)))</f>
        <v>0</v>
      </c>
      <c r="K39" s="54">
        <f t="shared" si="1"/>
        <v>0</v>
      </c>
      <c r="L39" s="236">
        <v>0</v>
      </c>
      <c r="M39" s="374" t="s">
        <v>106</v>
      </c>
      <c r="N39" s="375">
        <f>IF(ISBLANK($A39),0,IF(M39="no",0,VLOOKUP($A39,'CAPEX Categories'!$A$2:$C$18,3,FALSE)))</f>
        <v>0</v>
      </c>
      <c r="O39" s="54">
        <f t="shared" si="2"/>
        <v>0</v>
      </c>
      <c r="P39" s="236">
        <v>0</v>
      </c>
      <c r="Q39" s="374" t="s">
        <v>106</v>
      </c>
      <c r="R39" s="375">
        <f>IF(ISBLANK($A39),0,IF(Q39="no",0,VLOOKUP($A39,'CAPEX Categories'!$A$2:$C$18,3,FALSE)))</f>
        <v>0</v>
      </c>
      <c r="S39" s="54">
        <f t="shared" si="3"/>
        <v>0</v>
      </c>
      <c r="T39" s="236">
        <v>0</v>
      </c>
      <c r="U39" s="374" t="s">
        <v>106</v>
      </c>
      <c r="V39" s="375">
        <f>IF(ISBLANK($A39),0,IF(U39="no",0,VLOOKUP($A39,'CAPEX Categories'!$A$2:$C$18,3,FALSE)))</f>
        <v>0</v>
      </c>
      <c r="W39" s="54">
        <f t="shared" si="4"/>
        <v>0</v>
      </c>
      <c r="X39" s="236">
        <v>0</v>
      </c>
      <c r="Y39" s="374" t="s">
        <v>106</v>
      </c>
      <c r="Z39" s="375">
        <f>IF(ISBLANK($A39),0,IF(Y39="no",0,VLOOKUP($A39,'CAPEX Categories'!$A$2:$C$18,3,FALSE)))</f>
        <v>0</v>
      </c>
      <c r="AA39" s="54">
        <f t="shared" si="5"/>
        <v>0</v>
      </c>
      <c r="AB39" s="236">
        <v>0</v>
      </c>
      <c r="AC39" s="374" t="s">
        <v>106</v>
      </c>
      <c r="AD39" s="375">
        <f>IF(ISBLANK($A39),0,IF(AC39="no",0,VLOOKUP($A39,'CAPEX Categories'!$A$2:$C$18,3,FALSE)))</f>
        <v>0</v>
      </c>
      <c r="AE39" s="54">
        <f t="shared" si="6"/>
        <v>0</v>
      </c>
      <c r="AF39" s="236">
        <v>0</v>
      </c>
      <c r="AG39" s="374" t="s">
        <v>106</v>
      </c>
      <c r="AH39" s="375">
        <f>IF(ISBLANK($A39),0,IF(AG39="no",0,VLOOKUP($A39,'CAPEX Categories'!$A$2:$C$18,3,FALSE)))</f>
        <v>0</v>
      </c>
      <c r="AI39" s="54">
        <f t="shared" si="7"/>
        <v>0</v>
      </c>
      <c r="AJ39" s="236">
        <v>0</v>
      </c>
      <c r="AK39" s="374" t="s">
        <v>106</v>
      </c>
      <c r="AL39" s="375">
        <f>IF(ISBLANK($A39),0,IF(AK39="no",0,VLOOKUP($A39,'CAPEX Categories'!$A$2:$C$18,3,FALSE)))</f>
        <v>0</v>
      </c>
      <c r="AM39" s="54">
        <f t="shared" si="8"/>
        <v>0</v>
      </c>
      <c r="AN39" s="236">
        <v>0</v>
      </c>
      <c r="AO39" s="374" t="s">
        <v>106</v>
      </c>
      <c r="AP39" s="375">
        <f>IF(ISBLANK($A39),0,IF(AO39="no",0,VLOOKUP($A39,'CAPEX Categories'!$A$2:$C$18,3,FALSE)))</f>
        <v>0</v>
      </c>
      <c r="AQ39" s="54">
        <f t="shared" si="9"/>
        <v>0</v>
      </c>
      <c r="AR39" s="236">
        <v>0</v>
      </c>
      <c r="AS39" s="374" t="s">
        <v>106</v>
      </c>
      <c r="AT39" s="375">
        <f>IF(ISBLANK(A39),0,IF(AS39="no",0,VLOOKUP(A39,'CAPEX Categories'!$A$2:$C$18,3,FALSE)))</f>
        <v>0</v>
      </c>
      <c r="AU39" s="54">
        <f t="shared" si="10"/>
        <v>0</v>
      </c>
      <c r="AV39" s="51"/>
      <c r="AW39" s="51"/>
      <c r="AX39" s="51"/>
    </row>
    <row r="40" spans="1:50" ht="14.45" customHeight="1" x14ac:dyDescent="0.25">
      <c r="A40" s="533" t="s">
        <v>141</v>
      </c>
      <c r="B40" s="534"/>
      <c r="C40" s="527" t="s">
        <v>142</v>
      </c>
      <c r="D40" s="235">
        <v>0</v>
      </c>
      <c r="E40" s="372" t="s">
        <v>107</v>
      </c>
      <c r="F40" s="373">
        <f>IF(ISBLANK($A40),0,IF(E40="no",0,VLOOKUP($A40,'CAPEX Categories'!$A$2:$C$18,3,FALSE)))</f>
        <v>0.15</v>
      </c>
      <c r="G40" s="53">
        <f t="shared" si="0"/>
        <v>0</v>
      </c>
      <c r="H40" s="235">
        <v>0</v>
      </c>
      <c r="I40" s="372" t="s">
        <v>107</v>
      </c>
      <c r="J40" s="373">
        <f>IF(ISBLANK($A40),0,IF(I40="no",0,VLOOKUP($A40,'CAPEX Categories'!$A$2:$C$18,3,FALSE)))</f>
        <v>0.15</v>
      </c>
      <c r="K40" s="53">
        <f t="shared" si="1"/>
        <v>0</v>
      </c>
      <c r="L40" s="235">
        <v>0</v>
      </c>
      <c r="M40" s="372" t="s">
        <v>107</v>
      </c>
      <c r="N40" s="373">
        <f>IF(ISBLANK($A40),0,IF(M40="no",0,VLOOKUP($A40,'CAPEX Categories'!$A$2:$C$18,3,FALSE)))</f>
        <v>0.15</v>
      </c>
      <c r="O40" s="53">
        <f t="shared" si="2"/>
        <v>0</v>
      </c>
      <c r="P40" s="235">
        <v>0</v>
      </c>
      <c r="Q40" s="372" t="s">
        <v>107</v>
      </c>
      <c r="R40" s="373">
        <f>IF(ISBLANK($A40),0,IF(Q40="no",0,VLOOKUP($A40,'CAPEX Categories'!$A$2:$C$18,3,FALSE)))</f>
        <v>0.15</v>
      </c>
      <c r="S40" s="53">
        <f t="shared" si="3"/>
        <v>0</v>
      </c>
      <c r="T40" s="235">
        <v>0</v>
      </c>
      <c r="U40" s="372" t="s">
        <v>107</v>
      </c>
      <c r="V40" s="373">
        <f>IF(ISBLANK($A40),0,IF(U40="no",0,VLOOKUP($A40,'CAPEX Categories'!$A$2:$C$18,3,FALSE)))</f>
        <v>0.15</v>
      </c>
      <c r="W40" s="53">
        <f t="shared" si="4"/>
        <v>0</v>
      </c>
      <c r="X40" s="235">
        <v>0</v>
      </c>
      <c r="Y40" s="372" t="s">
        <v>107</v>
      </c>
      <c r="Z40" s="373">
        <f>IF(ISBLANK($A40),0,IF(Y40="no",0,VLOOKUP($A40,'CAPEX Categories'!$A$2:$C$18,3,FALSE)))</f>
        <v>0.15</v>
      </c>
      <c r="AA40" s="53">
        <f t="shared" si="5"/>
        <v>0</v>
      </c>
      <c r="AB40" s="235">
        <v>0</v>
      </c>
      <c r="AC40" s="372" t="s">
        <v>107</v>
      </c>
      <c r="AD40" s="373">
        <f>IF(ISBLANK($A40),0,IF(AC40="no",0,VLOOKUP($A40,'CAPEX Categories'!$A$2:$C$18,3,FALSE)))</f>
        <v>0.15</v>
      </c>
      <c r="AE40" s="53">
        <f t="shared" si="6"/>
        <v>0</v>
      </c>
      <c r="AF40" s="235">
        <v>0</v>
      </c>
      <c r="AG40" s="372" t="s">
        <v>107</v>
      </c>
      <c r="AH40" s="373">
        <f>IF(ISBLANK($A40),0,IF(AG40="no",0,VLOOKUP($A40,'CAPEX Categories'!$A$2:$C$18,3,FALSE)))</f>
        <v>0.15</v>
      </c>
      <c r="AI40" s="53">
        <f t="shared" si="7"/>
        <v>0</v>
      </c>
      <c r="AJ40" s="235">
        <v>0</v>
      </c>
      <c r="AK40" s="372" t="s">
        <v>107</v>
      </c>
      <c r="AL40" s="373">
        <f>IF(ISBLANK($A40),0,IF(AK40="no",0,VLOOKUP($A40,'CAPEX Categories'!$A$2:$C$18,3,FALSE)))</f>
        <v>0.15</v>
      </c>
      <c r="AM40" s="53">
        <f t="shared" si="8"/>
        <v>0</v>
      </c>
      <c r="AN40" s="235">
        <v>0</v>
      </c>
      <c r="AO40" s="372" t="s">
        <v>107</v>
      </c>
      <c r="AP40" s="373">
        <f>IF(ISBLANK($A40),0,IF(AO40="no",0,VLOOKUP($A40,'CAPEX Categories'!$A$2:$C$18,3,FALSE)))</f>
        <v>0.15</v>
      </c>
      <c r="AQ40" s="53">
        <f t="shared" si="9"/>
        <v>0</v>
      </c>
      <c r="AR40" s="235">
        <v>0</v>
      </c>
      <c r="AS40" s="372" t="s">
        <v>107</v>
      </c>
      <c r="AT40" s="373">
        <f>IF(ISBLANK(A40),0,IF(AS40="no",0,VLOOKUP(A40,'CAPEX Categories'!$A$2:$C$18,3,FALSE)))</f>
        <v>0.15</v>
      </c>
      <c r="AU40" s="53">
        <f t="shared" si="10"/>
        <v>0</v>
      </c>
      <c r="AV40" s="51"/>
      <c r="AW40" s="51"/>
      <c r="AX40" s="51"/>
    </row>
    <row r="41" spans="1:50" ht="14.45" customHeight="1" x14ac:dyDescent="0.25">
      <c r="A41" s="535"/>
      <c r="B41" s="536"/>
      <c r="C41" s="528"/>
      <c r="D41" s="236">
        <v>0</v>
      </c>
      <c r="E41" s="374" t="s">
        <v>106</v>
      </c>
      <c r="F41" s="375">
        <f>IF(ISBLANK($A41),0,IF(E41="no",0,VLOOKUP($A41,'CAPEX Categories'!$A$2:$C$18,3,FALSE)))</f>
        <v>0</v>
      </c>
      <c r="G41" s="54">
        <f t="shared" si="0"/>
        <v>0</v>
      </c>
      <c r="H41" s="236">
        <v>0</v>
      </c>
      <c r="I41" s="374" t="s">
        <v>106</v>
      </c>
      <c r="J41" s="375">
        <f>IF(ISBLANK($A41),0,IF(I41="no",0,VLOOKUP($A41,'CAPEX Categories'!$A$2:$C$18,3,FALSE)))</f>
        <v>0</v>
      </c>
      <c r="K41" s="54">
        <f t="shared" si="1"/>
        <v>0</v>
      </c>
      <c r="L41" s="236">
        <v>0</v>
      </c>
      <c r="M41" s="374" t="s">
        <v>106</v>
      </c>
      <c r="N41" s="375">
        <f>IF(ISBLANK($A41),0,IF(M41="no",0,VLOOKUP($A41,'CAPEX Categories'!$A$2:$C$18,3,FALSE)))</f>
        <v>0</v>
      </c>
      <c r="O41" s="54">
        <f t="shared" si="2"/>
        <v>0</v>
      </c>
      <c r="P41" s="236">
        <v>0</v>
      </c>
      <c r="Q41" s="374" t="s">
        <v>106</v>
      </c>
      <c r="R41" s="375">
        <f>IF(ISBLANK($A41),0,IF(Q41="no",0,VLOOKUP($A41,'CAPEX Categories'!$A$2:$C$18,3,FALSE)))</f>
        <v>0</v>
      </c>
      <c r="S41" s="54">
        <f t="shared" si="3"/>
        <v>0</v>
      </c>
      <c r="T41" s="236">
        <v>0</v>
      </c>
      <c r="U41" s="374" t="s">
        <v>106</v>
      </c>
      <c r="V41" s="375">
        <f>IF(ISBLANK($A41),0,IF(U41="no",0,VLOOKUP($A41,'CAPEX Categories'!$A$2:$C$18,3,FALSE)))</f>
        <v>0</v>
      </c>
      <c r="W41" s="54">
        <f t="shared" si="4"/>
        <v>0</v>
      </c>
      <c r="X41" s="236">
        <v>0</v>
      </c>
      <c r="Y41" s="374" t="s">
        <v>106</v>
      </c>
      <c r="Z41" s="375">
        <f>IF(ISBLANK($A41),0,IF(Y41="no",0,VLOOKUP($A41,'CAPEX Categories'!$A$2:$C$18,3,FALSE)))</f>
        <v>0</v>
      </c>
      <c r="AA41" s="54">
        <f t="shared" si="5"/>
        <v>0</v>
      </c>
      <c r="AB41" s="236">
        <v>0</v>
      </c>
      <c r="AC41" s="374" t="s">
        <v>106</v>
      </c>
      <c r="AD41" s="375">
        <f>IF(ISBLANK($A41),0,IF(AC41="no",0,VLOOKUP($A41,'CAPEX Categories'!$A$2:$C$18,3,FALSE)))</f>
        <v>0</v>
      </c>
      <c r="AE41" s="54">
        <f t="shared" si="6"/>
        <v>0</v>
      </c>
      <c r="AF41" s="236">
        <v>0</v>
      </c>
      <c r="AG41" s="374" t="s">
        <v>106</v>
      </c>
      <c r="AH41" s="375">
        <f>IF(ISBLANK($A41),0,IF(AG41="no",0,VLOOKUP($A41,'CAPEX Categories'!$A$2:$C$18,3,FALSE)))</f>
        <v>0</v>
      </c>
      <c r="AI41" s="54">
        <f t="shared" si="7"/>
        <v>0</v>
      </c>
      <c r="AJ41" s="236">
        <v>0</v>
      </c>
      <c r="AK41" s="374" t="s">
        <v>106</v>
      </c>
      <c r="AL41" s="375">
        <f>IF(ISBLANK($A41),0,IF(AK41="no",0,VLOOKUP($A41,'CAPEX Categories'!$A$2:$C$18,3,FALSE)))</f>
        <v>0</v>
      </c>
      <c r="AM41" s="54">
        <f t="shared" si="8"/>
        <v>0</v>
      </c>
      <c r="AN41" s="236">
        <v>0</v>
      </c>
      <c r="AO41" s="374" t="s">
        <v>106</v>
      </c>
      <c r="AP41" s="375">
        <f>IF(ISBLANK($A41),0,IF(AO41="no",0,VLOOKUP($A41,'CAPEX Categories'!$A$2:$C$18,3,FALSE)))</f>
        <v>0</v>
      </c>
      <c r="AQ41" s="54">
        <f t="shared" si="9"/>
        <v>0</v>
      </c>
      <c r="AR41" s="236">
        <v>0</v>
      </c>
      <c r="AS41" s="374" t="s">
        <v>106</v>
      </c>
      <c r="AT41" s="375">
        <f>IF(ISBLANK(A41),0,IF(AS41="no",0,VLOOKUP(A41,'CAPEX Categories'!$A$2:$C$18,3,FALSE)))</f>
        <v>0</v>
      </c>
      <c r="AU41" s="54">
        <f t="shared" si="10"/>
        <v>0</v>
      </c>
      <c r="AV41" s="51"/>
      <c r="AW41" s="51"/>
      <c r="AX41" s="51"/>
    </row>
    <row r="42" spans="1:50" ht="14.45" customHeight="1" x14ac:dyDescent="0.25">
      <c r="A42" s="505" t="s">
        <v>204</v>
      </c>
      <c r="B42" s="506"/>
      <c r="C42" s="233"/>
      <c r="D42" s="235">
        <v>0</v>
      </c>
      <c r="E42" s="25"/>
      <c r="F42" s="237">
        <f>IF(ISBLANK(E42),0,IF(E42="no",0,"Enter Est IKTVA"))</f>
        <v>0</v>
      </c>
      <c r="G42" s="53">
        <f t="shared" si="0"/>
        <v>0</v>
      </c>
      <c r="H42" s="235">
        <v>0</v>
      </c>
      <c r="I42" s="25"/>
      <c r="J42" s="237">
        <f>IF(ISBLANK(I42),0,IF(I42="no",0,"Enter Est IKTVA"))</f>
        <v>0</v>
      </c>
      <c r="K42" s="53">
        <f t="shared" si="1"/>
        <v>0</v>
      </c>
      <c r="L42" s="235">
        <v>0</v>
      </c>
      <c r="M42" s="25"/>
      <c r="N42" s="237">
        <f>IF(ISBLANK(M42),0,IF(M42="no",0,"Enter Est IKTVA"))</f>
        <v>0</v>
      </c>
      <c r="O42" s="53">
        <f t="shared" si="2"/>
        <v>0</v>
      </c>
      <c r="P42" s="235">
        <v>0</v>
      </c>
      <c r="Q42" s="25"/>
      <c r="R42" s="237">
        <f>IF(ISBLANK(Q42),0,IF(Q42="no",0,"Enter Est IKTVA"))</f>
        <v>0</v>
      </c>
      <c r="S42" s="53">
        <f t="shared" si="3"/>
        <v>0</v>
      </c>
      <c r="T42" s="235">
        <v>0</v>
      </c>
      <c r="U42" s="25"/>
      <c r="V42" s="237">
        <f>IF(ISBLANK(U42),0,IF(U42="no",0,"Enter Est IKTVA"))</f>
        <v>0</v>
      </c>
      <c r="W42" s="53">
        <f t="shared" si="4"/>
        <v>0</v>
      </c>
      <c r="X42" s="235">
        <v>0</v>
      </c>
      <c r="Y42" s="25"/>
      <c r="Z42" s="237">
        <f>IF(ISBLANK(Y42),0,IF(Y42="no",0,"Enter Est IKTVA"))</f>
        <v>0</v>
      </c>
      <c r="AA42" s="53">
        <f t="shared" si="5"/>
        <v>0</v>
      </c>
      <c r="AB42" s="235">
        <v>0</v>
      </c>
      <c r="AC42" s="25"/>
      <c r="AD42" s="237">
        <f>IF(ISBLANK(AC42),0,IF(AC42="no",0,"Enter Est IKTVA"))</f>
        <v>0</v>
      </c>
      <c r="AE42" s="53">
        <f t="shared" si="6"/>
        <v>0</v>
      </c>
      <c r="AF42" s="235">
        <v>0</v>
      </c>
      <c r="AG42" s="25"/>
      <c r="AH42" s="237">
        <f>IF(ISBLANK(AG42),0,IF(AG42="no",0,"Enter Est IKTVA"))</f>
        <v>0</v>
      </c>
      <c r="AI42" s="53">
        <f t="shared" si="7"/>
        <v>0</v>
      </c>
      <c r="AJ42" s="235">
        <v>0</v>
      </c>
      <c r="AK42" s="25"/>
      <c r="AL42" s="237">
        <f>IF(ISBLANK(AK42),0,IF(AK42="no",0,"Enter Est IKTVA"))</f>
        <v>0</v>
      </c>
      <c r="AM42" s="53">
        <f t="shared" si="8"/>
        <v>0</v>
      </c>
      <c r="AN42" s="235">
        <v>0</v>
      </c>
      <c r="AO42" s="25"/>
      <c r="AP42" s="237">
        <f>IF(ISBLANK(AO42),0,IF(AO42="no",0,"Enter Est IKTVA"))</f>
        <v>0</v>
      </c>
      <c r="AQ42" s="53">
        <f t="shared" si="9"/>
        <v>0</v>
      </c>
      <c r="AR42" s="235">
        <v>0</v>
      </c>
      <c r="AS42" s="25"/>
      <c r="AT42" s="237">
        <f>IF(ISBLANK(AS42),0,IF(AS42="no",0,"Enter Est IKTVA"))</f>
        <v>0</v>
      </c>
      <c r="AU42" s="53">
        <f t="shared" si="10"/>
        <v>0</v>
      </c>
      <c r="AV42" s="51"/>
      <c r="AW42" s="51"/>
      <c r="AX42" s="51"/>
    </row>
    <row r="43" spans="1:50" ht="14.45" customHeight="1" x14ac:dyDescent="0.25">
      <c r="A43" s="503" t="s">
        <v>204</v>
      </c>
      <c r="B43" s="504"/>
      <c r="C43" s="234"/>
      <c r="D43" s="236">
        <v>0</v>
      </c>
      <c r="E43" s="26"/>
      <c r="F43" s="238">
        <f t="shared" ref="F43:F51" si="11">IF(ISBLANK(E43),0,IF(E43="no",0,"Enter Est IKTVA"))</f>
        <v>0</v>
      </c>
      <c r="G43" s="54">
        <f t="shared" si="0"/>
        <v>0</v>
      </c>
      <c r="H43" s="236">
        <v>0</v>
      </c>
      <c r="I43" s="26"/>
      <c r="J43" s="238">
        <f t="shared" ref="J43:J51" si="12">IF(ISBLANK(I43),0,IF(I43="no",0,"Enter Est IKTVA"))</f>
        <v>0</v>
      </c>
      <c r="K43" s="54">
        <f t="shared" si="1"/>
        <v>0</v>
      </c>
      <c r="L43" s="236">
        <v>0</v>
      </c>
      <c r="M43" s="26"/>
      <c r="N43" s="238">
        <f t="shared" ref="N43:N51" si="13">IF(ISBLANK(M43),0,IF(M43="no",0,"Enter Est IKTVA"))</f>
        <v>0</v>
      </c>
      <c r="O43" s="54">
        <f t="shared" si="2"/>
        <v>0</v>
      </c>
      <c r="P43" s="236">
        <v>0</v>
      </c>
      <c r="Q43" s="26"/>
      <c r="R43" s="238">
        <f t="shared" ref="R43:R51" si="14">IF(ISBLANK(Q43),0,IF(Q43="no",0,"Enter Est IKTVA"))</f>
        <v>0</v>
      </c>
      <c r="S43" s="54">
        <f t="shared" si="3"/>
        <v>0</v>
      </c>
      <c r="T43" s="236">
        <v>0</v>
      </c>
      <c r="U43" s="26"/>
      <c r="V43" s="238">
        <f t="shared" ref="V43:V51" si="15">IF(ISBLANK(U43),0,IF(U43="no",0,"Enter Est IKTVA"))</f>
        <v>0</v>
      </c>
      <c r="W43" s="54">
        <f t="shared" si="4"/>
        <v>0</v>
      </c>
      <c r="X43" s="236">
        <v>0</v>
      </c>
      <c r="Y43" s="26"/>
      <c r="Z43" s="238">
        <f t="shared" ref="Z43:Z51" si="16">IF(ISBLANK(Y43),0,IF(Y43="no",0,"Enter Est IKTVA"))</f>
        <v>0</v>
      </c>
      <c r="AA43" s="54">
        <f t="shared" si="5"/>
        <v>0</v>
      </c>
      <c r="AB43" s="236">
        <v>0</v>
      </c>
      <c r="AC43" s="26"/>
      <c r="AD43" s="238">
        <f t="shared" ref="AD43:AD51" si="17">IF(ISBLANK(AC43),0,IF(AC43="no",0,"Enter Est IKTVA"))</f>
        <v>0</v>
      </c>
      <c r="AE43" s="54">
        <f t="shared" si="6"/>
        <v>0</v>
      </c>
      <c r="AF43" s="236">
        <v>0</v>
      </c>
      <c r="AG43" s="26"/>
      <c r="AH43" s="238">
        <f t="shared" ref="AH43:AH51" si="18">IF(ISBLANK(AG43),0,IF(AG43="no",0,"Enter Est IKTVA"))</f>
        <v>0</v>
      </c>
      <c r="AI43" s="54">
        <f t="shared" si="7"/>
        <v>0</v>
      </c>
      <c r="AJ43" s="236">
        <v>0</v>
      </c>
      <c r="AK43" s="26"/>
      <c r="AL43" s="238">
        <f t="shared" ref="AL43:AL51" si="19">IF(ISBLANK(AK43),0,IF(AK43="no",0,"Enter Est IKTVA"))</f>
        <v>0</v>
      </c>
      <c r="AM43" s="54">
        <f t="shared" si="8"/>
        <v>0</v>
      </c>
      <c r="AN43" s="236">
        <v>0</v>
      </c>
      <c r="AO43" s="26"/>
      <c r="AP43" s="238">
        <f t="shared" ref="AP43:AP51" si="20">IF(ISBLANK(AO43),0,IF(AO43="no",0,"Enter Est IKTVA"))</f>
        <v>0</v>
      </c>
      <c r="AQ43" s="54">
        <f t="shared" si="9"/>
        <v>0</v>
      </c>
      <c r="AR43" s="236">
        <v>0</v>
      </c>
      <c r="AS43" s="26"/>
      <c r="AT43" s="238">
        <f t="shared" ref="AT43:AT51" si="21">IF(ISBLANK(AS43),0,IF(AS43="no",0,"Enter Est IKTVA"))</f>
        <v>0</v>
      </c>
      <c r="AU43" s="54">
        <f t="shared" si="10"/>
        <v>0</v>
      </c>
      <c r="AV43" s="51"/>
      <c r="AW43" s="51"/>
      <c r="AX43" s="51"/>
    </row>
    <row r="44" spans="1:50" ht="14.45" customHeight="1" x14ac:dyDescent="0.25">
      <c r="A44" s="505" t="s">
        <v>204</v>
      </c>
      <c r="B44" s="506"/>
      <c r="C44" s="233"/>
      <c r="D44" s="235">
        <v>0</v>
      </c>
      <c r="E44" s="25"/>
      <c r="F44" s="237">
        <f t="shared" si="11"/>
        <v>0</v>
      </c>
      <c r="G44" s="53">
        <f t="shared" si="0"/>
        <v>0</v>
      </c>
      <c r="H44" s="235">
        <v>0</v>
      </c>
      <c r="I44" s="25"/>
      <c r="J44" s="237">
        <f t="shared" si="12"/>
        <v>0</v>
      </c>
      <c r="K44" s="53">
        <f t="shared" si="1"/>
        <v>0</v>
      </c>
      <c r="L44" s="235">
        <v>0</v>
      </c>
      <c r="M44" s="25"/>
      <c r="N44" s="237">
        <f t="shared" si="13"/>
        <v>0</v>
      </c>
      <c r="O44" s="53">
        <f t="shared" si="2"/>
        <v>0</v>
      </c>
      <c r="P44" s="235">
        <v>0</v>
      </c>
      <c r="Q44" s="25"/>
      <c r="R44" s="237">
        <f t="shared" si="14"/>
        <v>0</v>
      </c>
      <c r="S44" s="53">
        <f t="shared" si="3"/>
        <v>0</v>
      </c>
      <c r="T44" s="235">
        <v>0</v>
      </c>
      <c r="U44" s="25"/>
      <c r="V44" s="237">
        <f t="shared" si="15"/>
        <v>0</v>
      </c>
      <c r="W44" s="53">
        <f t="shared" si="4"/>
        <v>0</v>
      </c>
      <c r="X44" s="235">
        <v>0</v>
      </c>
      <c r="Y44" s="25"/>
      <c r="Z44" s="237">
        <f t="shared" si="16"/>
        <v>0</v>
      </c>
      <c r="AA44" s="53">
        <f t="shared" si="5"/>
        <v>0</v>
      </c>
      <c r="AB44" s="235">
        <v>0</v>
      </c>
      <c r="AC44" s="25"/>
      <c r="AD44" s="237">
        <f t="shared" si="17"/>
        <v>0</v>
      </c>
      <c r="AE44" s="53">
        <f t="shared" si="6"/>
        <v>0</v>
      </c>
      <c r="AF44" s="235">
        <v>0</v>
      </c>
      <c r="AG44" s="25"/>
      <c r="AH44" s="237">
        <f t="shared" si="18"/>
        <v>0</v>
      </c>
      <c r="AI44" s="53">
        <f t="shared" si="7"/>
        <v>0</v>
      </c>
      <c r="AJ44" s="235">
        <v>0</v>
      </c>
      <c r="AK44" s="25"/>
      <c r="AL44" s="237">
        <f t="shared" si="19"/>
        <v>0</v>
      </c>
      <c r="AM44" s="53">
        <f t="shared" si="8"/>
        <v>0</v>
      </c>
      <c r="AN44" s="235">
        <v>0</v>
      </c>
      <c r="AO44" s="25"/>
      <c r="AP44" s="237">
        <f t="shared" si="20"/>
        <v>0</v>
      </c>
      <c r="AQ44" s="53">
        <f t="shared" si="9"/>
        <v>0</v>
      </c>
      <c r="AR44" s="235">
        <v>0</v>
      </c>
      <c r="AS44" s="25"/>
      <c r="AT44" s="237">
        <f t="shared" si="21"/>
        <v>0</v>
      </c>
      <c r="AU44" s="53">
        <f t="shared" si="10"/>
        <v>0</v>
      </c>
      <c r="AV44" s="51"/>
      <c r="AW44" s="51"/>
      <c r="AX44" s="51"/>
    </row>
    <row r="45" spans="1:50" ht="14.45" customHeight="1" x14ac:dyDescent="0.25">
      <c r="A45" s="503" t="s">
        <v>204</v>
      </c>
      <c r="B45" s="504"/>
      <c r="C45" s="234"/>
      <c r="D45" s="236">
        <v>0</v>
      </c>
      <c r="E45" s="26"/>
      <c r="F45" s="238">
        <f t="shared" si="11"/>
        <v>0</v>
      </c>
      <c r="G45" s="54">
        <f t="shared" si="0"/>
        <v>0</v>
      </c>
      <c r="H45" s="236">
        <v>0</v>
      </c>
      <c r="I45" s="26"/>
      <c r="J45" s="238">
        <f t="shared" si="12"/>
        <v>0</v>
      </c>
      <c r="K45" s="54">
        <f t="shared" si="1"/>
        <v>0</v>
      </c>
      <c r="L45" s="236">
        <v>0</v>
      </c>
      <c r="M45" s="26"/>
      <c r="N45" s="238">
        <f t="shared" si="13"/>
        <v>0</v>
      </c>
      <c r="O45" s="54">
        <f t="shared" si="2"/>
        <v>0</v>
      </c>
      <c r="P45" s="236">
        <v>0</v>
      </c>
      <c r="Q45" s="26"/>
      <c r="R45" s="238">
        <f t="shared" si="14"/>
        <v>0</v>
      </c>
      <c r="S45" s="54">
        <f t="shared" si="3"/>
        <v>0</v>
      </c>
      <c r="T45" s="236">
        <v>0</v>
      </c>
      <c r="U45" s="26"/>
      <c r="V45" s="238">
        <f t="shared" si="15"/>
        <v>0</v>
      </c>
      <c r="W45" s="54">
        <f t="shared" si="4"/>
        <v>0</v>
      </c>
      <c r="X45" s="236">
        <v>0</v>
      </c>
      <c r="Y45" s="26"/>
      <c r="Z45" s="238">
        <f t="shared" si="16"/>
        <v>0</v>
      </c>
      <c r="AA45" s="54">
        <f t="shared" si="5"/>
        <v>0</v>
      </c>
      <c r="AB45" s="236">
        <v>0</v>
      </c>
      <c r="AC45" s="26"/>
      <c r="AD45" s="238">
        <f t="shared" si="17"/>
        <v>0</v>
      </c>
      <c r="AE45" s="54">
        <f t="shared" si="6"/>
        <v>0</v>
      </c>
      <c r="AF45" s="236">
        <v>0</v>
      </c>
      <c r="AG45" s="26"/>
      <c r="AH45" s="238">
        <f t="shared" si="18"/>
        <v>0</v>
      </c>
      <c r="AI45" s="54">
        <f t="shared" si="7"/>
        <v>0</v>
      </c>
      <c r="AJ45" s="236">
        <v>0</v>
      </c>
      <c r="AK45" s="26"/>
      <c r="AL45" s="238">
        <f t="shared" si="19"/>
        <v>0</v>
      </c>
      <c r="AM45" s="54">
        <f t="shared" si="8"/>
        <v>0</v>
      </c>
      <c r="AN45" s="236">
        <v>0</v>
      </c>
      <c r="AO45" s="26"/>
      <c r="AP45" s="238">
        <f t="shared" si="20"/>
        <v>0</v>
      </c>
      <c r="AQ45" s="54">
        <f t="shared" si="9"/>
        <v>0</v>
      </c>
      <c r="AR45" s="236">
        <v>0</v>
      </c>
      <c r="AS45" s="26"/>
      <c r="AT45" s="238">
        <f t="shared" si="21"/>
        <v>0</v>
      </c>
      <c r="AU45" s="54">
        <f t="shared" si="10"/>
        <v>0</v>
      </c>
      <c r="AV45" s="51"/>
      <c r="AW45" s="51"/>
      <c r="AX45" s="51"/>
    </row>
    <row r="46" spans="1:50" ht="14.45" customHeight="1" x14ac:dyDescent="0.25">
      <c r="A46" s="505" t="s">
        <v>204</v>
      </c>
      <c r="B46" s="506"/>
      <c r="C46" s="233"/>
      <c r="D46" s="235">
        <v>0</v>
      </c>
      <c r="E46" s="25"/>
      <c r="F46" s="237">
        <f t="shared" si="11"/>
        <v>0</v>
      </c>
      <c r="G46" s="53">
        <f t="shared" si="0"/>
        <v>0</v>
      </c>
      <c r="H46" s="235">
        <v>0</v>
      </c>
      <c r="I46" s="25"/>
      <c r="J46" s="237">
        <f t="shared" si="12"/>
        <v>0</v>
      </c>
      <c r="K46" s="53">
        <f t="shared" si="1"/>
        <v>0</v>
      </c>
      <c r="L46" s="235">
        <v>0</v>
      </c>
      <c r="M46" s="25"/>
      <c r="N46" s="237">
        <f t="shared" si="13"/>
        <v>0</v>
      </c>
      <c r="O46" s="53">
        <f t="shared" si="2"/>
        <v>0</v>
      </c>
      <c r="P46" s="235">
        <v>0</v>
      </c>
      <c r="Q46" s="25"/>
      <c r="R46" s="237">
        <f t="shared" si="14"/>
        <v>0</v>
      </c>
      <c r="S46" s="53">
        <f t="shared" si="3"/>
        <v>0</v>
      </c>
      <c r="T46" s="235">
        <v>0</v>
      </c>
      <c r="U46" s="25"/>
      <c r="V46" s="237">
        <f t="shared" si="15"/>
        <v>0</v>
      </c>
      <c r="W46" s="53">
        <f t="shared" si="4"/>
        <v>0</v>
      </c>
      <c r="X46" s="235">
        <v>0</v>
      </c>
      <c r="Y46" s="25"/>
      <c r="Z46" s="237">
        <f t="shared" si="16"/>
        <v>0</v>
      </c>
      <c r="AA46" s="53">
        <f t="shared" si="5"/>
        <v>0</v>
      </c>
      <c r="AB46" s="235">
        <v>0</v>
      </c>
      <c r="AC46" s="25"/>
      <c r="AD46" s="237">
        <f t="shared" si="17"/>
        <v>0</v>
      </c>
      <c r="AE46" s="53">
        <f t="shared" si="6"/>
        <v>0</v>
      </c>
      <c r="AF46" s="235">
        <v>0</v>
      </c>
      <c r="AG46" s="25"/>
      <c r="AH46" s="237">
        <f t="shared" si="18"/>
        <v>0</v>
      </c>
      <c r="AI46" s="53">
        <f t="shared" si="7"/>
        <v>0</v>
      </c>
      <c r="AJ46" s="235">
        <v>0</v>
      </c>
      <c r="AK46" s="25"/>
      <c r="AL46" s="237">
        <f t="shared" si="19"/>
        <v>0</v>
      </c>
      <c r="AM46" s="53">
        <f t="shared" si="8"/>
        <v>0</v>
      </c>
      <c r="AN46" s="235">
        <v>0</v>
      </c>
      <c r="AO46" s="25"/>
      <c r="AP46" s="237">
        <f t="shared" si="20"/>
        <v>0</v>
      </c>
      <c r="AQ46" s="53">
        <f t="shared" si="9"/>
        <v>0</v>
      </c>
      <c r="AR46" s="235">
        <v>0</v>
      </c>
      <c r="AS46" s="25"/>
      <c r="AT46" s="237">
        <f t="shared" si="21"/>
        <v>0</v>
      </c>
      <c r="AU46" s="53">
        <f t="shared" si="10"/>
        <v>0</v>
      </c>
      <c r="AV46" s="51"/>
      <c r="AW46" s="51"/>
      <c r="AX46" s="51"/>
    </row>
    <row r="47" spans="1:50" ht="14.45" customHeight="1" x14ac:dyDescent="0.25">
      <c r="A47" s="503" t="s">
        <v>204</v>
      </c>
      <c r="B47" s="504"/>
      <c r="C47" s="234"/>
      <c r="D47" s="236">
        <v>0</v>
      </c>
      <c r="E47" s="26"/>
      <c r="F47" s="238">
        <f t="shared" si="11"/>
        <v>0</v>
      </c>
      <c r="G47" s="54">
        <f t="shared" si="0"/>
        <v>0</v>
      </c>
      <c r="H47" s="236">
        <v>0</v>
      </c>
      <c r="I47" s="26"/>
      <c r="J47" s="238">
        <f t="shared" si="12"/>
        <v>0</v>
      </c>
      <c r="K47" s="54">
        <f t="shared" si="1"/>
        <v>0</v>
      </c>
      <c r="L47" s="236">
        <v>0</v>
      </c>
      <c r="M47" s="26"/>
      <c r="N47" s="238">
        <f t="shared" si="13"/>
        <v>0</v>
      </c>
      <c r="O47" s="54">
        <f t="shared" si="2"/>
        <v>0</v>
      </c>
      <c r="P47" s="236">
        <v>0</v>
      </c>
      <c r="Q47" s="26"/>
      <c r="R47" s="238">
        <f t="shared" si="14"/>
        <v>0</v>
      </c>
      <c r="S47" s="54">
        <f t="shared" si="3"/>
        <v>0</v>
      </c>
      <c r="T47" s="236">
        <v>0</v>
      </c>
      <c r="U47" s="26"/>
      <c r="V47" s="238">
        <f t="shared" si="15"/>
        <v>0</v>
      </c>
      <c r="W47" s="54">
        <f t="shared" si="4"/>
        <v>0</v>
      </c>
      <c r="X47" s="236">
        <v>0</v>
      </c>
      <c r="Y47" s="26"/>
      <c r="Z47" s="238">
        <f t="shared" si="16"/>
        <v>0</v>
      </c>
      <c r="AA47" s="54">
        <f t="shared" si="5"/>
        <v>0</v>
      </c>
      <c r="AB47" s="236">
        <v>0</v>
      </c>
      <c r="AC47" s="26"/>
      <c r="AD47" s="238">
        <f t="shared" si="17"/>
        <v>0</v>
      </c>
      <c r="AE47" s="54">
        <f t="shared" si="6"/>
        <v>0</v>
      </c>
      <c r="AF47" s="236">
        <v>0</v>
      </c>
      <c r="AG47" s="26"/>
      <c r="AH47" s="238">
        <f t="shared" si="18"/>
        <v>0</v>
      </c>
      <c r="AI47" s="54">
        <f t="shared" si="7"/>
        <v>0</v>
      </c>
      <c r="AJ47" s="236">
        <v>0</v>
      </c>
      <c r="AK47" s="26"/>
      <c r="AL47" s="238">
        <f t="shared" si="19"/>
        <v>0</v>
      </c>
      <c r="AM47" s="54">
        <f t="shared" si="8"/>
        <v>0</v>
      </c>
      <c r="AN47" s="236">
        <v>0</v>
      </c>
      <c r="AO47" s="26"/>
      <c r="AP47" s="238">
        <f t="shared" si="20"/>
        <v>0</v>
      </c>
      <c r="AQ47" s="54">
        <f t="shared" si="9"/>
        <v>0</v>
      </c>
      <c r="AR47" s="236">
        <v>0</v>
      </c>
      <c r="AS47" s="26"/>
      <c r="AT47" s="238">
        <f t="shared" si="21"/>
        <v>0</v>
      </c>
      <c r="AU47" s="54">
        <f t="shared" si="10"/>
        <v>0</v>
      </c>
      <c r="AV47" s="51"/>
      <c r="AW47" s="51"/>
      <c r="AX47" s="51"/>
    </row>
    <row r="48" spans="1:50" ht="14.45" customHeight="1" x14ac:dyDescent="0.25">
      <c r="A48" s="505" t="s">
        <v>204</v>
      </c>
      <c r="B48" s="506"/>
      <c r="C48" s="233"/>
      <c r="D48" s="235">
        <v>0</v>
      </c>
      <c r="E48" s="25"/>
      <c r="F48" s="237">
        <f t="shared" si="11"/>
        <v>0</v>
      </c>
      <c r="G48" s="53">
        <f t="shared" si="0"/>
        <v>0</v>
      </c>
      <c r="H48" s="235">
        <v>0</v>
      </c>
      <c r="I48" s="25"/>
      <c r="J48" s="237">
        <f t="shared" si="12"/>
        <v>0</v>
      </c>
      <c r="K48" s="53">
        <f t="shared" si="1"/>
        <v>0</v>
      </c>
      <c r="L48" s="235">
        <v>0</v>
      </c>
      <c r="M48" s="25"/>
      <c r="N48" s="237">
        <f t="shared" si="13"/>
        <v>0</v>
      </c>
      <c r="O48" s="53">
        <f t="shared" si="2"/>
        <v>0</v>
      </c>
      <c r="P48" s="235">
        <v>0</v>
      </c>
      <c r="Q48" s="25"/>
      <c r="R48" s="237">
        <f t="shared" si="14"/>
        <v>0</v>
      </c>
      <c r="S48" s="53">
        <f t="shared" si="3"/>
        <v>0</v>
      </c>
      <c r="T48" s="235">
        <v>0</v>
      </c>
      <c r="U48" s="25"/>
      <c r="V48" s="237">
        <f t="shared" si="15"/>
        <v>0</v>
      </c>
      <c r="W48" s="53">
        <f t="shared" si="4"/>
        <v>0</v>
      </c>
      <c r="X48" s="235">
        <v>0</v>
      </c>
      <c r="Y48" s="25"/>
      <c r="Z48" s="237">
        <f t="shared" si="16"/>
        <v>0</v>
      </c>
      <c r="AA48" s="53">
        <f t="shared" si="5"/>
        <v>0</v>
      </c>
      <c r="AB48" s="235">
        <v>0</v>
      </c>
      <c r="AC48" s="25"/>
      <c r="AD48" s="237">
        <f t="shared" si="17"/>
        <v>0</v>
      </c>
      <c r="AE48" s="53">
        <f t="shared" si="6"/>
        <v>0</v>
      </c>
      <c r="AF48" s="235">
        <v>0</v>
      </c>
      <c r="AG48" s="25"/>
      <c r="AH48" s="237">
        <f t="shared" si="18"/>
        <v>0</v>
      </c>
      <c r="AI48" s="53">
        <f t="shared" si="7"/>
        <v>0</v>
      </c>
      <c r="AJ48" s="235">
        <v>0</v>
      </c>
      <c r="AK48" s="25"/>
      <c r="AL48" s="237">
        <f t="shared" si="19"/>
        <v>0</v>
      </c>
      <c r="AM48" s="53">
        <f t="shared" si="8"/>
        <v>0</v>
      </c>
      <c r="AN48" s="235">
        <v>0</v>
      </c>
      <c r="AO48" s="25"/>
      <c r="AP48" s="237">
        <f t="shared" si="20"/>
        <v>0</v>
      </c>
      <c r="AQ48" s="53">
        <f t="shared" si="9"/>
        <v>0</v>
      </c>
      <c r="AR48" s="235">
        <v>0</v>
      </c>
      <c r="AS48" s="25"/>
      <c r="AT48" s="237">
        <f t="shared" si="21"/>
        <v>0</v>
      </c>
      <c r="AU48" s="53">
        <f t="shared" si="10"/>
        <v>0</v>
      </c>
      <c r="AV48" s="51"/>
      <c r="AW48" s="51"/>
      <c r="AX48" s="51"/>
    </row>
    <row r="49" spans="1:50" ht="14.45" customHeight="1" x14ac:dyDescent="0.25">
      <c r="A49" s="503" t="s">
        <v>204</v>
      </c>
      <c r="B49" s="504"/>
      <c r="C49" s="234"/>
      <c r="D49" s="236">
        <v>0</v>
      </c>
      <c r="E49" s="26"/>
      <c r="F49" s="238">
        <f t="shared" si="11"/>
        <v>0</v>
      </c>
      <c r="G49" s="54">
        <f t="shared" si="0"/>
        <v>0</v>
      </c>
      <c r="H49" s="236">
        <v>0</v>
      </c>
      <c r="I49" s="26"/>
      <c r="J49" s="238">
        <f t="shared" si="12"/>
        <v>0</v>
      </c>
      <c r="K49" s="54">
        <f t="shared" si="1"/>
        <v>0</v>
      </c>
      <c r="L49" s="236">
        <v>0</v>
      </c>
      <c r="M49" s="26"/>
      <c r="N49" s="238">
        <f t="shared" si="13"/>
        <v>0</v>
      </c>
      <c r="O49" s="54">
        <f t="shared" si="2"/>
        <v>0</v>
      </c>
      <c r="P49" s="236">
        <v>0</v>
      </c>
      <c r="Q49" s="26"/>
      <c r="R49" s="238">
        <f t="shared" si="14"/>
        <v>0</v>
      </c>
      <c r="S49" s="54">
        <f t="shared" si="3"/>
        <v>0</v>
      </c>
      <c r="T49" s="236">
        <v>0</v>
      </c>
      <c r="U49" s="26"/>
      <c r="V49" s="238">
        <f t="shared" si="15"/>
        <v>0</v>
      </c>
      <c r="W49" s="54">
        <f t="shared" si="4"/>
        <v>0</v>
      </c>
      <c r="X49" s="236">
        <v>0</v>
      </c>
      <c r="Y49" s="26"/>
      <c r="Z49" s="238">
        <f t="shared" si="16"/>
        <v>0</v>
      </c>
      <c r="AA49" s="54">
        <f t="shared" si="5"/>
        <v>0</v>
      </c>
      <c r="AB49" s="236">
        <v>0</v>
      </c>
      <c r="AC49" s="26"/>
      <c r="AD49" s="238">
        <f t="shared" si="17"/>
        <v>0</v>
      </c>
      <c r="AE49" s="54">
        <f t="shared" si="6"/>
        <v>0</v>
      </c>
      <c r="AF49" s="236">
        <v>0</v>
      </c>
      <c r="AG49" s="26"/>
      <c r="AH49" s="238">
        <f t="shared" si="18"/>
        <v>0</v>
      </c>
      <c r="AI49" s="54">
        <f t="shared" si="7"/>
        <v>0</v>
      </c>
      <c r="AJ49" s="236">
        <v>0</v>
      </c>
      <c r="AK49" s="26"/>
      <c r="AL49" s="238">
        <f t="shared" si="19"/>
        <v>0</v>
      </c>
      <c r="AM49" s="54">
        <f t="shared" si="8"/>
        <v>0</v>
      </c>
      <c r="AN49" s="236">
        <v>0</v>
      </c>
      <c r="AO49" s="26"/>
      <c r="AP49" s="238">
        <f t="shared" si="20"/>
        <v>0</v>
      </c>
      <c r="AQ49" s="54">
        <f t="shared" si="9"/>
        <v>0</v>
      </c>
      <c r="AR49" s="236">
        <v>0</v>
      </c>
      <c r="AS49" s="26"/>
      <c r="AT49" s="238">
        <f t="shared" si="21"/>
        <v>0</v>
      </c>
      <c r="AU49" s="54">
        <f t="shared" si="10"/>
        <v>0</v>
      </c>
      <c r="AV49" s="51"/>
      <c r="AW49" s="51"/>
      <c r="AX49" s="51"/>
    </row>
    <row r="50" spans="1:50" ht="14.45" customHeight="1" x14ac:dyDescent="0.25">
      <c r="A50" s="505" t="s">
        <v>204</v>
      </c>
      <c r="B50" s="506"/>
      <c r="C50" s="233"/>
      <c r="D50" s="235">
        <v>0</v>
      </c>
      <c r="E50" s="25"/>
      <c r="F50" s="237">
        <f t="shared" si="11"/>
        <v>0</v>
      </c>
      <c r="G50" s="53">
        <f t="shared" si="0"/>
        <v>0</v>
      </c>
      <c r="H50" s="235">
        <v>0</v>
      </c>
      <c r="I50" s="25"/>
      <c r="J50" s="237">
        <f t="shared" si="12"/>
        <v>0</v>
      </c>
      <c r="K50" s="53">
        <f t="shared" si="1"/>
        <v>0</v>
      </c>
      <c r="L50" s="235">
        <v>0</v>
      </c>
      <c r="M50" s="25"/>
      <c r="N50" s="237">
        <f t="shared" si="13"/>
        <v>0</v>
      </c>
      <c r="O50" s="53">
        <f t="shared" si="2"/>
        <v>0</v>
      </c>
      <c r="P50" s="235">
        <v>0</v>
      </c>
      <c r="Q50" s="25"/>
      <c r="R50" s="237">
        <f t="shared" si="14"/>
        <v>0</v>
      </c>
      <c r="S50" s="53">
        <f t="shared" si="3"/>
        <v>0</v>
      </c>
      <c r="T50" s="235">
        <v>0</v>
      </c>
      <c r="U50" s="25"/>
      <c r="V50" s="237">
        <f t="shared" si="15"/>
        <v>0</v>
      </c>
      <c r="W50" s="53">
        <f t="shared" si="4"/>
        <v>0</v>
      </c>
      <c r="X50" s="235">
        <v>0</v>
      </c>
      <c r="Y50" s="25"/>
      <c r="Z50" s="237">
        <f t="shared" si="16"/>
        <v>0</v>
      </c>
      <c r="AA50" s="53">
        <f t="shared" si="5"/>
        <v>0</v>
      </c>
      <c r="AB50" s="235">
        <v>0</v>
      </c>
      <c r="AC50" s="25"/>
      <c r="AD50" s="237">
        <f t="shared" si="17"/>
        <v>0</v>
      </c>
      <c r="AE50" s="53">
        <f t="shared" si="6"/>
        <v>0</v>
      </c>
      <c r="AF50" s="235">
        <v>0</v>
      </c>
      <c r="AG50" s="25"/>
      <c r="AH50" s="237">
        <f t="shared" si="18"/>
        <v>0</v>
      </c>
      <c r="AI50" s="53">
        <f t="shared" si="7"/>
        <v>0</v>
      </c>
      <c r="AJ50" s="235">
        <v>0</v>
      </c>
      <c r="AK50" s="25"/>
      <c r="AL50" s="237">
        <f t="shared" si="19"/>
        <v>0</v>
      </c>
      <c r="AM50" s="53">
        <f t="shared" si="8"/>
        <v>0</v>
      </c>
      <c r="AN50" s="235">
        <v>0</v>
      </c>
      <c r="AO50" s="25"/>
      <c r="AP50" s="237">
        <f t="shared" si="20"/>
        <v>0</v>
      </c>
      <c r="AQ50" s="53">
        <f t="shared" si="9"/>
        <v>0</v>
      </c>
      <c r="AR50" s="235">
        <v>0</v>
      </c>
      <c r="AS50" s="25"/>
      <c r="AT50" s="237">
        <f t="shared" si="21"/>
        <v>0</v>
      </c>
      <c r="AU50" s="53">
        <f t="shared" si="10"/>
        <v>0</v>
      </c>
      <c r="AV50" s="51"/>
      <c r="AW50" s="51"/>
      <c r="AX50" s="51"/>
    </row>
    <row r="51" spans="1:50" ht="14.45" customHeight="1" x14ac:dyDescent="0.25">
      <c r="A51" s="503" t="s">
        <v>204</v>
      </c>
      <c r="B51" s="504"/>
      <c r="C51" s="229"/>
      <c r="D51" s="236">
        <v>0</v>
      </c>
      <c r="E51" s="26"/>
      <c r="F51" s="238">
        <f t="shared" si="11"/>
        <v>0</v>
      </c>
      <c r="G51" s="16">
        <f t="shared" si="0"/>
        <v>0</v>
      </c>
      <c r="H51" s="236">
        <v>0</v>
      </c>
      <c r="I51" s="26"/>
      <c r="J51" s="238">
        <f t="shared" si="12"/>
        <v>0</v>
      </c>
      <c r="K51" s="16">
        <f t="shared" si="1"/>
        <v>0</v>
      </c>
      <c r="L51" s="236">
        <v>0</v>
      </c>
      <c r="M51" s="26"/>
      <c r="N51" s="238">
        <f t="shared" si="13"/>
        <v>0</v>
      </c>
      <c r="O51" s="16">
        <f t="shared" si="2"/>
        <v>0</v>
      </c>
      <c r="P51" s="236">
        <v>0</v>
      </c>
      <c r="Q51" s="26"/>
      <c r="R51" s="238">
        <f t="shared" si="14"/>
        <v>0</v>
      </c>
      <c r="S51" s="16">
        <f t="shared" si="3"/>
        <v>0</v>
      </c>
      <c r="T51" s="236">
        <v>0</v>
      </c>
      <c r="U51" s="26"/>
      <c r="V51" s="238">
        <f t="shared" si="15"/>
        <v>0</v>
      </c>
      <c r="W51" s="16">
        <f t="shared" si="4"/>
        <v>0</v>
      </c>
      <c r="X51" s="236">
        <v>0</v>
      </c>
      <c r="Y51" s="26"/>
      <c r="Z51" s="238">
        <f t="shared" si="16"/>
        <v>0</v>
      </c>
      <c r="AA51" s="16">
        <f t="shared" si="5"/>
        <v>0</v>
      </c>
      <c r="AB51" s="236">
        <v>0</v>
      </c>
      <c r="AC51" s="26"/>
      <c r="AD51" s="238">
        <f t="shared" si="17"/>
        <v>0</v>
      </c>
      <c r="AE51" s="16">
        <f t="shared" si="6"/>
        <v>0</v>
      </c>
      <c r="AF51" s="236">
        <v>0</v>
      </c>
      <c r="AG51" s="26"/>
      <c r="AH51" s="238">
        <f t="shared" si="18"/>
        <v>0</v>
      </c>
      <c r="AI51" s="16">
        <f t="shared" si="7"/>
        <v>0</v>
      </c>
      <c r="AJ51" s="236">
        <v>0</v>
      </c>
      <c r="AK51" s="26"/>
      <c r="AL51" s="238">
        <f t="shared" si="19"/>
        <v>0</v>
      </c>
      <c r="AM51" s="16">
        <f t="shared" si="8"/>
        <v>0</v>
      </c>
      <c r="AN51" s="236">
        <v>0</v>
      </c>
      <c r="AO51" s="26"/>
      <c r="AP51" s="238">
        <f t="shared" si="20"/>
        <v>0</v>
      </c>
      <c r="AQ51" s="16">
        <f t="shared" si="9"/>
        <v>0</v>
      </c>
      <c r="AR51" s="236">
        <v>0</v>
      </c>
      <c r="AS51" s="26"/>
      <c r="AT51" s="238">
        <f t="shared" si="21"/>
        <v>0</v>
      </c>
      <c r="AU51" s="16">
        <f t="shared" si="10"/>
        <v>0</v>
      </c>
      <c r="AV51" s="51"/>
      <c r="AW51" s="51"/>
      <c r="AX51" s="51"/>
    </row>
    <row r="52" spans="1:50" ht="21" x14ac:dyDescent="0.35">
      <c r="A52" s="499" t="s">
        <v>48</v>
      </c>
      <c r="B52" s="500"/>
      <c r="C52" s="36"/>
      <c r="D52" s="40">
        <f>SUM(D10:D51)</f>
        <v>0</v>
      </c>
      <c r="E52" s="38"/>
      <c r="F52" s="39"/>
      <c r="G52" s="40">
        <f>SUM(G10:G51)</f>
        <v>0</v>
      </c>
      <c r="H52" s="40">
        <f>SUM(H10:H51)</f>
        <v>0</v>
      </c>
      <c r="I52" s="38"/>
      <c r="J52" s="39"/>
      <c r="K52" s="40">
        <f>SUM(K10:K51)</f>
        <v>0</v>
      </c>
      <c r="L52" s="40">
        <f>SUM(L10:L51)</f>
        <v>0</v>
      </c>
      <c r="M52" s="38"/>
      <c r="N52" s="39"/>
      <c r="O52" s="40">
        <f>SUM(O10:O51)</f>
        <v>0</v>
      </c>
      <c r="P52" s="40">
        <f>SUM(P10:P51)</f>
        <v>0</v>
      </c>
      <c r="Q52" s="38"/>
      <c r="R52" s="39"/>
      <c r="S52" s="40">
        <f>SUM(S10:S51)</f>
        <v>0</v>
      </c>
      <c r="T52" s="40">
        <f>SUM(T10:T51)</f>
        <v>0</v>
      </c>
      <c r="U52" s="38"/>
      <c r="V52" s="39"/>
      <c r="W52" s="40">
        <f>SUM(W10:W51)</f>
        <v>0</v>
      </c>
      <c r="X52" s="40">
        <f>SUM(X10:X51)</f>
        <v>0</v>
      </c>
      <c r="Y52" s="38"/>
      <c r="Z52" s="39"/>
      <c r="AA52" s="40">
        <f>SUM(AA10:AA51)</f>
        <v>0</v>
      </c>
      <c r="AB52" s="40">
        <f>SUM(AB10:AB51)</f>
        <v>0</v>
      </c>
      <c r="AC52" s="38"/>
      <c r="AD52" s="39"/>
      <c r="AE52" s="40">
        <f>SUM(AE10:AE51)</f>
        <v>0</v>
      </c>
      <c r="AF52" s="40">
        <f>SUM(AF10:AF51)</f>
        <v>0</v>
      </c>
      <c r="AG52" s="38"/>
      <c r="AH52" s="39"/>
      <c r="AI52" s="40">
        <f>SUM(AI10:AI51)</f>
        <v>0</v>
      </c>
      <c r="AJ52" s="40">
        <f>SUM(AJ10:AJ51)</f>
        <v>0</v>
      </c>
      <c r="AK52" s="38"/>
      <c r="AL52" s="39"/>
      <c r="AM52" s="40">
        <f>SUM(AM10:AM51)</f>
        <v>0</v>
      </c>
      <c r="AN52" s="40">
        <f>SUM(AN10:AN51)</f>
        <v>0</v>
      </c>
      <c r="AO52" s="38"/>
      <c r="AP52" s="39"/>
      <c r="AQ52" s="40">
        <f>SUM(AQ10:AQ51)</f>
        <v>0</v>
      </c>
      <c r="AR52" s="40">
        <f>SUM(AR10:AR51)</f>
        <v>0</v>
      </c>
      <c r="AS52" s="38"/>
      <c r="AT52" s="39"/>
      <c r="AU52" s="40">
        <f>SUM(AU10:AU51)</f>
        <v>0</v>
      </c>
      <c r="AV52" s="51"/>
      <c r="AW52" s="51"/>
      <c r="AX52" s="51"/>
    </row>
  </sheetData>
  <sheetProtection algorithmName="SHA-512" hashValue="hBHLBb3udx1ThORxyb+6+eGcaIg5Henh+Iljd43wI/7sYC2BYLQJqz/fQmCAFboh2qj95b7aIb8Ki922oDJ1YA==" saltValue="1vAgEH/f0Ubr8/pz3GocxA==" spinCount="100000" sheet="1" objects="1" scenarios="1" formatCells="0" insertColumns="0" insertRows="0" insertHyperlinks="0" deleteColumns="0" deleteRows="0" selectLockedCells="1" sort="0" autoFilter="0" pivotTables="0"/>
  <mergeCells count="59">
    <mergeCell ref="A9:B9"/>
    <mergeCell ref="A51:B51"/>
    <mergeCell ref="A46:B46"/>
    <mergeCell ref="A48:B48"/>
    <mergeCell ref="A1:AR1"/>
    <mergeCell ref="A5:B5"/>
    <mergeCell ref="A6:B6"/>
    <mergeCell ref="A2:AR2"/>
    <mergeCell ref="A50:B50"/>
    <mergeCell ref="A42:B42"/>
    <mergeCell ref="A36:B37"/>
    <mergeCell ref="A38:B39"/>
    <mergeCell ref="A40:B41"/>
    <mergeCell ref="C10:C11"/>
    <mergeCell ref="C12:C13"/>
    <mergeCell ref="C14:C15"/>
    <mergeCell ref="A52:B52"/>
    <mergeCell ref="A47:B47"/>
    <mergeCell ref="A49:B49"/>
    <mergeCell ref="A43:B43"/>
    <mergeCell ref="A45:B45"/>
    <mergeCell ref="A44:B44"/>
    <mergeCell ref="C16:C17"/>
    <mergeCell ref="C18:C19"/>
    <mergeCell ref="C34:C35"/>
    <mergeCell ref="C36:C37"/>
    <mergeCell ref="C38:C39"/>
    <mergeCell ref="C20:C21"/>
    <mergeCell ref="C22:C23"/>
    <mergeCell ref="C24:C25"/>
    <mergeCell ref="C26:C27"/>
    <mergeCell ref="C28:C29"/>
    <mergeCell ref="C40:C41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C30:C31"/>
    <mergeCell ref="C32:C33"/>
    <mergeCell ref="AR8:AU8"/>
    <mergeCell ref="AN8:AQ8"/>
    <mergeCell ref="AJ8:AM8"/>
    <mergeCell ref="AF8:AI8"/>
    <mergeCell ref="AB8:AE8"/>
    <mergeCell ref="D8:G8"/>
    <mergeCell ref="X8:AA8"/>
    <mergeCell ref="T8:W8"/>
    <mergeCell ref="P8:S8"/>
    <mergeCell ref="L8:O8"/>
    <mergeCell ref="H8:K8"/>
  </mergeCells>
  <conditionalFormatting sqref="AT10:AT51">
    <cfRule type="expression" dxfId="20" priority="29">
      <formula>$AS10="NO"</formula>
    </cfRule>
  </conditionalFormatting>
  <conditionalFormatting sqref="AP10:AP41">
    <cfRule type="expression" dxfId="19" priority="28">
      <formula>$AS10="NO"</formula>
    </cfRule>
  </conditionalFormatting>
  <conditionalFormatting sqref="AP42:AP51">
    <cfRule type="expression" dxfId="18" priority="19">
      <formula>$AS42="NO"</formula>
    </cfRule>
  </conditionalFormatting>
  <conditionalFormatting sqref="AL42:AL51">
    <cfRule type="expression" dxfId="17" priority="18">
      <formula>$AS42="NO"</formula>
    </cfRule>
  </conditionalFormatting>
  <conditionalFormatting sqref="AH42:AH51">
    <cfRule type="expression" dxfId="16" priority="17">
      <formula>$AS42="NO"</formula>
    </cfRule>
  </conditionalFormatting>
  <conditionalFormatting sqref="AD42:AD51">
    <cfRule type="expression" dxfId="15" priority="16">
      <formula>$AS42="NO"</formula>
    </cfRule>
  </conditionalFormatting>
  <conditionalFormatting sqref="Z42:Z51">
    <cfRule type="expression" dxfId="14" priority="15">
      <formula>$AS42="NO"</formula>
    </cfRule>
  </conditionalFormatting>
  <conditionalFormatting sqref="V42:V51">
    <cfRule type="expression" dxfId="13" priority="14">
      <formula>$AS42="NO"</formula>
    </cfRule>
  </conditionalFormatting>
  <conditionalFormatting sqref="R42:R51">
    <cfRule type="expression" dxfId="12" priority="13">
      <formula>$AS42="NO"</formula>
    </cfRule>
  </conditionalFormatting>
  <conditionalFormatting sqref="N42:N51">
    <cfRule type="expression" dxfId="11" priority="12">
      <formula>$AS42="NO"</formula>
    </cfRule>
  </conditionalFormatting>
  <conditionalFormatting sqref="J42:J51">
    <cfRule type="expression" dxfId="10" priority="11">
      <formula>$AS42="NO"</formula>
    </cfRule>
  </conditionalFormatting>
  <conditionalFormatting sqref="AL10:AL41">
    <cfRule type="expression" dxfId="9" priority="10">
      <formula>$AS10="NO"</formula>
    </cfRule>
  </conditionalFormatting>
  <conditionalFormatting sqref="AH10:AH41">
    <cfRule type="expression" dxfId="8" priority="9">
      <formula>$AS10="NO"</formula>
    </cfRule>
  </conditionalFormatting>
  <conditionalFormatting sqref="AD10:AD41">
    <cfRule type="expression" dxfId="7" priority="8">
      <formula>$AS10="NO"</formula>
    </cfRule>
  </conditionalFormatting>
  <conditionalFormatting sqref="Z10:Z41">
    <cfRule type="expression" dxfId="6" priority="7">
      <formula>$AS10="NO"</formula>
    </cfRule>
  </conditionalFormatting>
  <conditionalFormatting sqref="V10:V41">
    <cfRule type="expression" dxfId="5" priority="6">
      <formula>$AS10="NO"</formula>
    </cfRule>
  </conditionalFormatting>
  <conditionalFormatting sqref="R10:R41">
    <cfRule type="expression" dxfId="4" priority="5">
      <formula>$AS10="NO"</formula>
    </cfRule>
  </conditionalFormatting>
  <conditionalFormatting sqref="N10:N41">
    <cfRule type="expression" dxfId="3" priority="4">
      <formula>$AS10="NO"</formula>
    </cfRule>
  </conditionalFormatting>
  <conditionalFormatting sqref="J10:J41">
    <cfRule type="expression" dxfId="2" priority="3">
      <formula>$AS10="NO"</formula>
    </cfRule>
  </conditionalFormatting>
  <conditionalFormatting sqref="F42:F51">
    <cfRule type="expression" dxfId="1" priority="2">
      <formula>$AS42="NO"</formula>
    </cfRule>
  </conditionalFormatting>
  <conditionalFormatting sqref="F10:F41">
    <cfRule type="expression" dxfId="0" priority="1">
      <formula>$AS10="NO"</formula>
    </cfRule>
  </conditionalFormatting>
  <dataValidations count="3">
    <dataValidation type="list" allowBlank="1" showInputMessage="1" showErrorMessage="1" sqref="AV18">
      <formula1>#REF!</formula1>
    </dataValidation>
    <dataValidation type="decimal" allowBlank="1" showInputMessage="1" showErrorMessage="1" sqref="AU10:AU51 AQ10:AR51 AM10:AN51 AI10:AJ51 AE10:AF51 AA10:AB51 W10:X51 S10:T51 O10:P51 K10:L51 G10:H51 D10:D51">
      <formula1>-10000000000</formula1>
      <formula2>10000000000</formula2>
    </dataValidation>
    <dataValidation type="decimal" allowBlank="1" showInputMessage="1" showErrorMessage="1" sqref="AT10:AT51 AP10:AP51 N10:N51 AL10:AL51 AH10:AH51 AD10:AD51 Z10:Z51 V10:V51 R10:R51 J10:J51 F10:F51">
      <formula1>0</formula1>
      <formula2>1</formula2>
    </dataValidation>
  </dataValidations>
  <pageMargins left="0.7" right="0.7" top="0.75" bottom="0.75" header="0.3" footer="0.3"/>
  <pageSetup scale="49" fitToWidth="0" orientation="landscape" r:id="rId1"/>
  <headerFooter differentOddEven="1">
    <oddFooter>&amp;R&amp;F
&amp;D&amp;CSaudi Aramco: Confidential</oddFooter>
    <evenFooter>&amp;CSaudi Aramco: Confidential&amp;R&amp;F
&amp;D</evenFooter>
  </headerFooter>
  <colBreaks count="5" manualBreakCount="5">
    <brk id="11" max="1048575" man="1"/>
    <brk id="19" max="1048575" man="1"/>
    <brk id="27" max="1048575" man="1"/>
    <brk id="35" max="1048575" man="1"/>
    <brk id="4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'CAPEX Categories'!$A$32:$A$33</xm:f>
          </x14:formula1>
          <xm:sqref>AS10:AS51 AO10:AO51 AK10:AK51 AG10:AG51 AC10:AC51 Y10:Y51 U10:U51 Q10:Q51 M10:M51 I10:I51 E10:E51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80"/>
  <sheetViews>
    <sheetView showGridLines="0" workbookViewId="0">
      <selection activeCell="C17" sqref="C17"/>
    </sheetView>
  </sheetViews>
  <sheetFormatPr defaultRowHeight="15" x14ac:dyDescent="0.25"/>
  <cols>
    <col min="1" max="1" width="24.85546875" bestFit="1" customWidth="1"/>
    <col min="2" max="2" width="58.85546875" customWidth="1"/>
    <col min="3" max="3" width="11.28515625" bestFit="1" customWidth="1"/>
  </cols>
  <sheetData>
    <row r="1" spans="1:3" ht="16.5" thickBot="1" x14ac:dyDescent="0.3">
      <c r="A1" s="30" t="s">
        <v>123</v>
      </c>
      <c r="B1" s="31" t="s">
        <v>124</v>
      </c>
      <c r="C1" s="31" t="s">
        <v>14</v>
      </c>
    </row>
    <row r="2" spans="1:3" ht="15.75" thickBot="1" x14ac:dyDescent="0.3">
      <c r="A2" s="29" t="s">
        <v>109</v>
      </c>
      <c r="B2" s="28" t="s">
        <v>132</v>
      </c>
      <c r="C2" s="32">
        <v>1</v>
      </c>
    </row>
    <row r="3" spans="1:3" ht="30.75" thickBot="1" x14ac:dyDescent="0.3">
      <c r="A3" s="29" t="s">
        <v>131</v>
      </c>
      <c r="B3" s="28" t="s">
        <v>161</v>
      </c>
      <c r="C3" s="32">
        <v>0.45</v>
      </c>
    </row>
    <row r="4" spans="1:3" ht="30.75" thickBot="1" x14ac:dyDescent="0.3">
      <c r="A4" s="29" t="s">
        <v>111</v>
      </c>
      <c r="B4" s="28" t="s">
        <v>162</v>
      </c>
      <c r="C4" s="32">
        <v>0.4</v>
      </c>
    </row>
    <row r="5" spans="1:3" ht="60.75" thickBot="1" x14ac:dyDescent="0.3">
      <c r="A5" s="33" t="s">
        <v>210</v>
      </c>
      <c r="B5" s="28" t="s">
        <v>125</v>
      </c>
      <c r="C5" s="32">
        <v>0.25</v>
      </c>
    </row>
    <row r="6" spans="1:3" s="2" customFormat="1" ht="15.75" thickBot="1" x14ac:dyDescent="0.3">
      <c r="A6" s="33" t="s">
        <v>183</v>
      </c>
      <c r="B6" s="28" t="s">
        <v>189</v>
      </c>
      <c r="C6" s="32">
        <v>0.2</v>
      </c>
    </row>
    <row r="7" spans="1:3" s="2" customFormat="1" ht="15.75" thickBot="1" x14ac:dyDescent="0.3">
      <c r="A7" s="33" t="s">
        <v>184</v>
      </c>
      <c r="B7" s="28" t="s">
        <v>185</v>
      </c>
      <c r="C7" s="32">
        <v>0.15</v>
      </c>
    </row>
    <row r="8" spans="1:3" ht="30.75" thickBot="1" x14ac:dyDescent="0.3">
      <c r="A8" s="29" t="s">
        <v>186</v>
      </c>
      <c r="B8" s="203" t="s">
        <v>163</v>
      </c>
      <c r="C8" s="32">
        <v>0.1</v>
      </c>
    </row>
    <row r="9" spans="1:3" ht="15.75" thickBot="1" x14ac:dyDescent="0.3">
      <c r="A9" s="29" t="s">
        <v>126</v>
      </c>
      <c r="B9" s="28" t="s">
        <v>127</v>
      </c>
      <c r="C9" s="32">
        <v>0.1</v>
      </c>
    </row>
    <row r="10" spans="1:3" ht="15.75" thickBot="1" x14ac:dyDescent="0.3">
      <c r="A10" s="29" t="s">
        <v>138</v>
      </c>
      <c r="B10" s="28" t="s">
        <v>128</v>
      </c>
      <c r="C10" s="32">
        <v>0.1</v>
      </c>
    </row>
    <row r="11" spans="1:3" ht="30.75" thickBot="1" x14ac:dyDescent="0.3">
      <c r="A11" s="29" t="s">
        <v>137</v>
      </c>
      <c r="B11" s="28" t="s">
        <v>207</v>
      </c>
      <c r="C11" s="32">
        <v>0.1</v>
      </c>
    </row>
    <row r="12" spans="1:3" s="2" customFormat="1" ht="15.75" thickBot="1" x14ac:dyDescent="0.3">
      <c r="A12" s="29" t="s">
        <v>187</v>
      </c>
      <c r="B12" s="28" t="s">
        <v>188</v>
      </c>
      <c r="C12" s="32">
        <v>0.1</v>
      </c>
    </row>
    <row r="13" spans="1:3" ht="15.75" thickBot="1" x14ac:dyDescent="0.3">
      <c r="A13" s="29" t="s">
        <v>133</v>
      </c>
      <c r="B13" s="28" t="s">
        <v>135</v>
      </c>
      <c r="C13" s="32">
        <v>0.1</v>
      </c>
    </row>
    <row r="14" spans="1:3" ht="15.75" thickBot="1" x14ac:dyDescent="0.3">
      <c r="A14" s="29" t="s">
        <v>134</v>
      </c>
      <c r="B14" s="28" t="s">
        <v>136</v>
      </c>
      <c r="C14" s="32">
        <v>0.15</v>
      </c>
    </row>
    <row r="15" spans="1:3" ht="15.75" thickBot="1" x14ac:dyDescent="0.3">
      <c r="A15" s="29" t="s">
        <v>139</v>
      </c>
      <c r="B15" s="28" t="s">
        <v>129</v>
      </c>
      <c r="C15" s="32">
        <v>0.25</v>
      </c>
    </row>
    <row r="16" spans="1:3" ht="15.75" thickBot="1" x14ac:dyDescent="0.3">
      <c r="A16" s="29" t="s">
        <v>140</v>
      </c>
      <c r="B16" s="28" t="s">
        <v>130</v>
      </c>
      <c r="C16" s="32">
        <v>0.25</v>
      </c>
    </row>
    <row r="17" spans="1:3" ht="15.75" thickBot="1" x14ac:dyDescent="0.3">
      <c r="A17" s="29" t="s">
        <v>141</v>
      </c>
      <c r="B17" s="28" t="s">
        <v>142</v>
      </c>
      <c r="C17" s="32">
        <v>0.15</v>
      </c>
    </row>
    <row r="18" spans="1:3" ht="15.75" thickBot="1" x14ac:dyDescent="0.3">
      <c r="A18" s="29" t="s">
        <v>164</v>
      </c>
      <c r="B18" s="28"/>
      <c r="C18" s="32"/>
    </row>
    <row r="24" spans="1:3" x14ac:dyDescent="0.25">
      <c r="A24" t="s">
        <v>160</v>
      </c>
    </row>
    <row r="25" spans="1:3" x14ac:dyDescent="0.25">
      <c r="A25" t="s">
        <v>18</v>
      </c>
    </row>
    <row r="27" spans="1:3" x14ac:dyDescent="0.25">
      <c r="A27" t="s">
        <v>224</v>
      </c>
    </row>
    <row r="28" spans="1:3" x14ac:dyDescent="0.25">
      <c r="A28" t="s">
        <v>225</v>
      </c>
    </row>
    <row r="29" spans="1:3" x14ac:dyDescent="0.25">
      <c r="A29" t="s">
        <v>226</v>
      </c>
    </row>
    <row r="31" spans="1:3" x14ac:dyDescent="0.25">
      <c r="A31" s="15" t="s">
        <v>108</v>
      </c>
    </row>
    <row r="32" spans="1:3" x14ac:dyDescent="0.25">
      <c r="A32" s="15" t="s">
        <v>107</v>
      </c>
    </row>
    <row r="33" spans="1:3" x14ac:dyDescent="0.25">
      <c r="A33" s="15" t="s">
        <v>106</v>
      </c>
    </row>
    <row r="35" spans="1:3" ht="16.5" thickBot="1" x14ac:dyDescent="0.3">
      <c r="A35" s="383" t="s">
        <v>369</v>
      </c>
      <c r="B35" s="384" t="s">
        <v>370</v>
      </c>
      <c r="C35" s="384" t="s">
        <v>14</v>
      </c>
    </row>
    <row r="36" spans="1:3" ht="32.25" thickBot="1" x14ac:dyDescent="0.3">
      <c r="A36" s="385" t="s">
        <v>371</v>
      </c>
      <c r="B36" s="386" t="s">
        <v>372</v>
      </c>
      <c r="C36" s="387">
        <v>0.5</v>
      </c>
    </row>
    <row r="37" spans="1:3" ht="32.25" thickBot="1" x14ac:dyDescent="0.3">
      <c r="A37" s="385" t="s">
        <v>373</v>
      </c>
      <c r="B37" s="386" t="s">
        <v>374</v>
      </c>
      <c r="C37" s="387">
        <v>0.2</v>
      </c>
    </row>
    <row r="38" spans="1:3" ht="16.5" thickBot="1" x14ac:dyDescent="0.3">
      <c r="A38" s="385" t="s">
        <v>375</v>
      </c>
      <c r="B38" s="386" t="s">
        <v>376</v>
      </c>
      <c r="C38" s="387">
        <v>0.2</v>
      </c>
    </row>
    <row r="39" spans="1:3" ht="32.25" thickBot="1" x14ac:dyDescent="0.3">
      <c r="A39" s="385" t="s">
        <v>377</v>
      </c>
      <c r="B39" s="386" t="s">
        <v>378</v>
      </c>
      <c r="C39" s="387">
        <v>0.2</v>
      </c>
    </row>
    <row r="40" spans="1:3" ht="32.25" thickBot="1" x14ac:dyDescent="0.3">
      <c r="A40" s="385" t="s">
        <v>379</v>
      </c>
      <c r="B40" s="386" t="s">
        <v>380</v>
      </c>
      <c r="C40" s="387">
        <v>0.7</v>
      </c>
    </row>
    <row r="41" spans="1:3" ht="32.25" thickBot="1" x14ac:dyDescent="0.3">
      <c r="A41" s="385" t="s">
        <v>381</v>
      </c>
      <c r="B41" s="386" t="s">
        <v>382</v>
      </c>
      <c r="C41" s="387">
        <v>0.1</v>
      </c>
    </row>
    <row r="42" spans="1:3" ht="32.25" thickBot="1" x14ac:dyDescent="0.3">
      <c r="A42" s="385" t="s">
        <v>383</v>
      </c>
      <c r="B42" s="386" t="s">
        <v>384</v>
      </c>
      <c r="C42" s="387">
        <v>0.5</v>
      </c>
    </row>
    <row r="43" spans="1:3" ht="32.25" thickBot="1" x14ac:dyDescent="0.3">
      <c r="A43" s="385" t="s">
        <v>385</v>
      </c>
      <c r="B43" s="386" t="s">
        <v>386</v>
      </c>
      <c r="C43" s="387">
        <v>0.25</v>
      </c>
    </row>
    <row r="44" spans="1:3" ht="48" thickBot="1" x14ac:dyDescent="0.3">
      <c r="A44" s="385" t="s">
        <v>387</v>
      </c>
      <c r="B44" s="386"/>
      <c r="C44" s="387">
        <v>0.2</v>
      </c>
    </row>
    <row r="45" spans="1:3" ht="32.25" thickBot="1" x14ac:dyDescent="0.3">
      <c r="A45" s="385" t="s">
        <v>388</v>
      </c>
      <c r="B45" s="386" t="s">
        <v>389</v>
      </c>
      <c r="C45" s="387">
        <v>0.4</v>
      </c>
    </row>
    <row r="46" spans="1:3" ht="16.5" thickBot="1" x14ac:dyDescent="0.3">
      <c r="A46" s="385" t="s">
        <v>390</v>
      </c>
      <c r="B46" s="386" t="s">
        <v>391</v>
      </c>
      <c r="C46" s="387">
        <v>0.6</v>
      </c>
    </row>
    <row r="47" spans="1:3" ht="32.25" thickBot="1" x14ac:dyDescent="0.3">
      <c r="A47" s="385" t="s">
        <v>392</v>
      </c>
      <c r="B47" s="386" t="s">
        <v>393</v>
      </c>
      <c r="C47" s="387">
        <v>0.4</v>
      </c>
    </row>
    <row r="48" spans="1:3" ht="32.25" thickBot="1" x14ac:dyDescent="0.3">
      <c r="A48" s="385" t="s">
        <v>394</v>
      </c>
      <c r="B48" s="388"/>
      <c r="C48" s="387">
        <v>0.6</v>
      </c>
    </row>
    <row r="49" spans="1:3" ht="32.25" thickBot="1" x14ac:dyDescent="0.3">
      <c r="A49" s="385" t="s">
        <v>395</v>
      </c>
      <c r="B49" s="386" t="s">
        <v>396</v>
      </c>
      <c r="C49" s="387">
        <v>0</v>
      </c>
    </row>
    <row r="50" spans="1:3" ht="16.5" thickBot="1" x14ac:dyDescent="0.3">
      <c r="A50" s="385" t="s">
        <v>397</v>
      </c>
      <c r="B50" s="386" t="s">
        <v>398</v>
      </c>
      <c r="C50" s="387">
        <v>0.7</v>
      </c>
    </row>
    <row r="51" spans="1:3" ht="48" thickBot="1" x14ac:dyDescent="0.3">
      <c r="A51" s="385" t="s">
        <v>399</v>
      </c>
      <c r="B51" s="386" t="s">
        <v>400</v>
      </c>
      <c r="C51" s="387">
        <v>0.2</v>
      </c>
    </row>
    <row r="52" spans="1:3" ht="32.25" thickBot="1" x14ac:dyDescent="0.3">
      <c r="A52" s="385" t="s">
        <v>401</v>
      </c>
      <c r="B52" s="386" t="s">
        <v>402</v>
      </c>
      <c r="C52" s="387">
        <v>0.25</v>
      </c>
    </row>
    <row r="53" spans="1:3" ht="32.25" thickBot="1" x14ac:dyDescent="0.3">
      <c r="A53" s="385" t="s">
        <v>403</v>
      </c>
      <c r="B53" s="386" t="s">
        <v>404</v>
      </c>
      <c r="C53" s="387">
        <v>0.7</v>
      </c>
    </row>
    <row r="54" spans="1:3" ht="48" thickBot="1" x14ac:dyDescent="0.3">
      <c r="A54" s="385" t="s">
        <v>405</v>
      </c>
      <c r="B54" s="386" t="s">
        <v>406</v>
      </c>
      <c r="C54" s="387">
        <v>0.15</v>
      </c>
    </row>
    <row r="55" spans="1:3" ht="48" thickBot="1" x14ac:dyDescent="0.3">
      <c r="A55" s="385" t="s">
        <v>407</v>
      </c>
      <c r="B55" s="386" t="s">
        <v>408</v>
      </c>
      <c r="C55" s="387">
        <v>0.1</v>
      </c>
    </row>
    <row r="56" spans="1:3" ht="16.5" thickBot="1" x14ac:dyDescent="0.3">
      <c r="A56" s="385" t="s">
        <v>409</v>
      </c>
      <c r="B56" s="386" t="s">
        <v>410</v>
      </c>
      <c r="C56" s="387">
        <v>0.25</v>
      </c>
    </row>
    <row r="57" spans="1:3" ht="32.25" thickBot="1" x14ac:dyDescent="0.3">
      <c r="A57" s="385" t="s">
        <v>411</v>
      </c>
      <c r="B57" s="386" t="s">
        <v>412</v>
      </c>
      <c r="C57" s="387">
        <v>0.3</v>
      </c>
    </row>
    <row r="58" spans="1:3" ht="16.5" thickBot="1" x14ac:dyDescent="0.3">
      <c r="A58" s="385" t="s">
        <v>413</v>
      </c>
      <c r="B58" s="386" t="s">
        <v>414</v>
      </c>
      <c r="C58" s="387">
        <v>0.1</v>
      </c>
    </row>
    <row r="59" spans="1:3" ht="16.5" thickBot="1" x14ac:dyDescent="0.3">
      <c r="A59" s="385" t="s">
        <v>415</v>
      </c>
      <c r="B59" s="386" t="s">
        <v>416</v>
      </c>
      <c r="C59" s="387">
        <v>0.2</v>
      </c>
    </row>
    <row r="60" spans="1:3" ht="32.25" thickBot="1" x14ac:dyDescent="0.3">
      <c r="A60" s="385" t="s">
        <v>417</v>
      </c>
      <c r="B60" s="386" t="s">
        <v>418</v>
      </c>
      <c r="C60" s="387">
        <v>0.4</v>
      </c>
    </row>
    <row r="61" spans="1:3" ht="16.5" thickBot="1" x14ac:dyDescent="0.3">
      <c r="A61" s="385" t="s">
        <v>419</v>
      </c>
      <c r="B61" s="386"/>
      <c r="C61" s="387">
        <v>0.2</v>
      </c>
    </row>
    <row r="62" spans="1:3" ht="16.5" thickBot="1" x14ac:dyDescent="0.3">
      <c r="A62" s="385" t="s">
        <v>420</v>
      </c>
      <c r="B62" s="386"/>
      <c r="C62" s="387">
        <v>0.3</v>
      </c>
    </row>
    <row r="63" spans="1:3" ht="48" thickBot="1" x14ac:dyDescent="0.3">
      <c r="A63" s="385" t="s">
        <v>421</v>
      </c>
      <c r="B63" s="386" t="s">
        <v>422</v>
      </c>
      <c r="C63" s="387">
        <v>0.2</v>
      </c>
    </row>
    <row r="64" spans="1:3" ht="32.25" thickBot="1" x14ac:dyDescent="0.3">
      <c r="A64" s="385" t="s">
        <v>423</v>
      </c>
      <c r="B64" s="386" t="s">
        <v>424</v>
      </c>
      <c r="C64" s="387" t="s">
        <v>425</v>
      </c>
    </row>
    <row r="65" spans="1:3" ht="32.25" thickBot="1" x14ac:dyDescent="0.3">
      <c r="A65" s="385" t="s">
        <v>426</v>
      </c>
      <c r="B65" s="386" t="s">
        <v>427</v>
      </c>
      <c r="C65" s="387">
        <v>0.6</v>
      </c>
    </row>
    <row r="66" spans="1:3" ht="32.25" thickBot="1" x14ac:dyDescent="0.3">
      <c r="A66" s="385" t="s">
        <v>428</v>
      </c>
      <c r="B66" s="386" t="s">
        <v>429</v>
      </c>
      <c r="C66" s="387">
        <v>0.2</v>
      </c>
    </row>
    <row r="67" spans="1:3" ht="32.25" thickBot="1" x14ac:dyDescent="0.3">
      <c r="A67" s="385" t="s">
        <v>430</v>
      </c>
      <c r="B67" s="386" t="s">
        <v>431</v>
      </c>
      <c r="C67" s="387">
        <v>0.4</v>
      </c>
    </row>
    <row r="68" spans="1:3" ht="16.5" thickBot="1" x14ac:dyDescent="0.3">
      <c r="A68" s="385" t="s">
        <v>432</v>
      </c>
      <c r="B68" s="386" t="s">
        <v>433</v>
      </c>
      <c r="C68" s="387">
        <v>0.8</v>
      </c>
    </row>
    <row r="69" spans="1:3" ht="32.25" thickBot="1" x14ac:dyDescent="0.3">
      <c r="A69" s="385" t="s">
        <v>434</v>
      </c>
      <c r="B69" s="386" t="s">
        <v>435</v>
      </c>
      <c r="C69" s="387">
        <v>0.1</v>
      </c>
    </row>
    <row r="70" spans="1:3" ht="32.25" thickBot="1" x14ac:dyDescent="0.3">
      <c r="A70" s="385" t="s">
        <v>436</v>
      </c>
      <c r="B70" s="386" t="s">
        <v>437</v>
      </c>
      <c r="C70" s="387">
        <v>0.4</v>
      </c>
    </row>
    <row r="71" spans="1:3" ht="16.5" thickBot="1" x14ac:dyDescent="0.3">
      <c r="A71" s="385" t="s">
        <v>438</v>
      </c>
      <c r="B71" s="386" t="s">
        <v>439</v>
      </c>
      <c r="C71" s="387">
        <v>0.7</v>
      </c>
    </row>
    <row r="72" spans="1:3" ht="32.25" thickBot="1" x14ac:dyDescent="0.3">
      <c r="A72" s="385" t="s">
        <v>440</v>
      </c>
      <c r="B72" s="386" t="s">
        <v>441</v>
      </c>
      <c r="C72" s="387">
        <v>0.3</v>
      </c>
    </row>
    <row r="73" spans="1:3" ht="32.25" thickBot="1" x14ac:dyDescent="0.3">
      <c r="A73" s="385" t="s">
        <v>442</v>
      </c>
      <c r="B73" s="388"/>
      <c r="C73" s="387">
        <v>0.7</v>
      </c>
    </row>
    <row r="74" spans="1:3" ht="16.5" thickBot="1" x14ac:dyDescent="0.3">
      <c r="A74" s="385" t="s">
        <v>443</v>
      </c>
      <c r="B74" s="386" t="s">
        <v>444</v>
      </c>
      <c r="C74" s="387">
        <v>0.1</v>
      </c>
    </row>
    <row r="75" spans="1:3" ht="45.75" thickBot="1" x14ac:dyDescent="0.3">
      <c r="A75" s="385" t="s">
        <v>445</v>
      </c>
      <c r="B75" s="388" t="s">
        <v>446</v>
      </c>
      <c r="C75" s="387" t="s">
        <v>425</v>
      </c>
    </row>
    <row r="76" spans="1:3" ht="16.5" thickBot="1" x14ac:dyDescent="0.3">
      <c r="A76" s="385" t="s">
        <v>447</v>
      </c>
      <c r="B76" s="386" t="s">
        <v>448</v>
      </c>
      <c r="C76" s="387">
        <v>0</v>
      </c>
    </row>
    <row r="77" spans="1:3" ht="32.25" thickBot="1" x14ac:dyDescent="0.3">
      <c r="A77" s="385" t="s">
        <v>449</v>
      </c>
      <c r="B77" s="386" t="s">
        <v>450</v>
      </c>
      <c r="C77" s="387">
        <v>0.6</v>
      </c>
    </row>
    <row r="78" spans="1:3" ht="16.5" thickBot="1" x14ac:dyDescent="0.3">
      <c r="A78" s="385" t="s">
        <v>451</v>
      </c>
      <c r="B78" s="386" t="s">
        <v>452</v>
      </c>
      <c r="C78" s="387">
        <v>0.2</v>
      </c>
    </row>
    <row r="79" spans="1:3" ht="45.75" thickBot="1" x14ac:dyDescent="0.3">
      <c r="A79" s="385" t="s">
        <v>453</v>
      </c>
      <c r="B79" s="388" t="s">
        <v>454</v>
      </c>
      <c r="C79" s="387">
        <v>0.8</v>
      </c>
    </row>
    <row r="80" spans="1:3" ht="32.25" thickBot="1" x14ac:dyDescent="0.3">
      <c r="A80" s="385" t="s">
        <v>455</v>
      </c>
      <c r="B80" s="386"/>
      <c r="C80" s="387">
        <v>0.1</v>
      </c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orientation="landscape" r:id="rId1"/>
  <headerFooter differentOddEven="1">
    <oddFooter>&amp;CSaudi Aramco: Confidential</oddFooter>
    <evenFooter>&amp;CSaudi Aramco: Confidential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28"/>
  <sheetViews>
    <sheetView showGridLines="0" zoomScale="85" zoomScaleNormal="85" workbookViewId="0">
      <selection activeCell="A73" sqref="A73"/>
    </sheetView>
  </sheetViews>
  <sheetFormatPr defaultRowHeight="15" x14ac:dyDescent="0.25"/>
  <cols>
    <col min="1" max="1" width="6.140625" style="41" customWidth="1"/>
    <col min="2" max="2" width="16.5703125" style="41" bestFit="1" customWidth="1"/>
    <col min="3" max="13" width="14" style="41" customWidth="1"/>
    <col min="14" max="22" width="14" style="41" hidden="1" customWidth="1"/>
    <col min="23" max="16384" width="9.140625" style="41"/>
  </cols>
  <sheetData>
    <row r="1" spans="1:24" ht="26.25" x14ac:dyDescent="0.4">
      <c r="A1" s="483" t="str">
        <f>+'Page 1. Company Information'!$B$2</f>
        <v>Name of Company</v>
      </c>
      <c r="B1" s="483"/>
      <c r="C1" s="483"/>
      <c r="D1" s="483"/>
    </row>
    <row r="2" spans="1:24" ht="23.25" x14ac:dyDescent="0.35">
      <c r="A2" s="150" t="s">
        <v>89</v>
      </c>
      <c r="B2" s="150"/>
      <c r="C2" s="150"/>
      <c r="D2" s="150"/>
    </row>
    <row r="3" spans="1:24" ht="23.25" x14ac:dyDescent="0.35">
      <c r="A3" s="148"/>
      <c r="B3" s="148"/>
      <c r="C3" s="284"/>
      <c r="D3" s="148"/>
    </row>
    <row r="4" spans="1:24" ht="21" x14ac:dyDescent="0.35">
      <c r="A4" s="56" t="s">
        <v>4</v>
      </c>
      <c r="B4" s="147"/>
      <c r="C4" s="286"/>
      <c r="D4" s="57"/>
      <c r="E4" s="57"/>
      <c r="F4" s="58"/>
      <c r="G4" s="57"/>
      <c r="H4" s="58"/>
    </row>
    <row r="5" spans="1:24" ht="28.5" customHeight="1" x14ac:dyDescent="0.25">
      <c r="A5" s="151" t="s">
        <v>352</v>
      </c>
    </row>
    <row r="6" spans="1:24" ht="30" x14ac:dyDescent="0.25">
      <c r="B6" s="61" t="s">
        <v>63</v>
      </c>
      <c r="C6" s="149">
        <f>+D6-1</f>
        <v>2016</v>
      </c>
      <c r="D6" s="152">
        <f>+A17</f>
        <v>2017</v>
      </c>
      <c r="E6" s="152">
        <f t="shared" ref="E6" si="0">+D6+1</f>
        <v>2018</v>
      </c>
      <c r="F6" s="152">
        <f t="shared" ref="F6" si="1">+E6+1</f>
        <v>2019</v>
      </c>
      <c r="G6" s="152">
        <f t="shared" ref="G6" si="2">+F6+1</f>
        <v>2020</v>
      </c>
      <c r="H6" s="152">
        <f t="shared" ref="H6" si="3">+G6+1</f>
        <v>2021</v>
      </c>
      <c r="I6" s="152">
        <f t="shared" ref="I6" si="4">+H6+1</f>
        <v>2022</v>
      </c>
      <c r="J6" s="152">
        <f t="shared" ref="J6" si="5">+I6+1</f>
        <v>2023</v>
      </c>
      <c r="K6" s="152">
        <f t="shared" ref="K6" si="6">+J6+1</f>
        <v>2024</v>
      </c>
      <c r="L6" s="152">
        <f t="shared" ref="L6" si="7">+K6+1</f>
        <v>2025</v>
      </c>
      <c r="M6" s="152">
        <f t="shared" ref="M6" si="8">+L6+1</f>
        <v>2026</v>
      </c>
      <c r="N6" s="152">
        <f t="shared" ref="N6" si="9">+M6+1</f>
        <v>2027</v>
      </c>
      <c r="O6" s="152">
        <f t="shared" ref="O6" si="10">+N6+1</f>
        <v>2028</v>
      </c>
      <c r="P6" s="152">
        <f t="shared" ref="P6" si="11">+O6+1</f>
        <v>2029</v>
      </c>
      <c r="Q6" s="152">
        <f t="shared" ref="Q6" si="12">+P6+1</f>
        <v>2030</v>
      </c>
      <c r="R6" s="152">
        <f t="shared" ref="R6" si="13">+Q6+1</f>
        <v>2031</v>
      </c>
      <c r="S6" s="152">
        <f t="shared" ref="S6:V6" si="14">+R6+1</f>
        <v>2032</v>
      </c>
      <c r="T6" s="152">
        <f t="shared" si="14"/>
        <v>2033</v>
      </c>
      <c r="U6" s="152">
        <f t="shared" si="14"/>
        <v>2034</v>
      </c>
      <c r="V6" s="152">
        <f t="shared" si="14"/>
        <v>2035</v>
      </c>
    </row>
    <row r="7" spans="1:24" x14ac:dyDescent="0.25">
      <c r="A7" s="155">
        <f t="shared" ref="A7:A15" si="15">+A8-1</f>
        <v>2007</v>
      </c>
      <c r="B7" s="156">
        <f>+'Page 5. Capital Investmests'!D18</f>
        <v>0</v>
      </c>
      <c r="C7" s="156">
        <f>+B7/10</f>
        <v>0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4" x14ac:dyDescent="0.25">
      <c r="A8" s="153">
        <f t="shared" si="15"/>
        <v>2008</v>
      </c>
      <c r="B8" s="53">
        <f>+'Page 5. Capital Investmests'!D17</f>
        <v>0</v>
      </c>
      <c r="C8" s="154">
        <f t="shared" ref="C8:C16" si="16">+B8/10</f>
        <v>0</v>
      </c>
      <c r="D8" s="154">
        <f t="shared" ref="D8:D16" si="17">+C8</f>
        <v>0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4" x14ac:dyDescent="0.25">
      <c r="A9" s="155">
        <f t="shared" si="15"/>
        <v>2009</v>
      </c>
      <c r="B9" s="156">
        <f>+'Page 5. Capital Investmests'!D16</f>
        <v>0</v>
      </c>
      <c r="C9" s="156">
        <f t="shared" si="16"/>
        <v>0</v>
      </c>
      <c r="D9" s="54">
        <f t="shared" si="17"/>
        <v>0</v>
      </c>
      <c r="E9" s="157">
        <f t="shared" ref="E9:E16" si="18">+D9</f>
        <v>0</v>
      </c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4" x14ac:dyDescent="0.25">
      <c r="A10" s="153">
        <f t="shared" si="15"/>
        <v>2010</v>
      </c>
      <c r="B10" s="53">
        <f>+'Page 5. Capital Investmests'!D15</f>
        <v>0</v>
      </c>
      <c r="C10" s="154">
        <f t="shared" si="16"/>
        <v>0</v>
      </c>
      <c r="D10" s="154">
        <f t="shared" si="17"/>
        <v>0</v>
      </c>
      <c r="E10" s="53">
        <f t="shared" si="18"/>
        <v>0</v>
      </c>
      <c r="F10" s="158">
        <f t="shared" ref="F10:F16" si="19">+E10</f>
        <v>0</v>
      </c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4" x14ac:dyDescent="0.25">
      <c r="A11" s="155">
        <f t="shared" si="15"/>
        <v>2011</v>
      </c>
      <c r="B11" s="156">
        <f>+'Page 5. Capital Investmests'!D14</f>
        <v>0</v>
      </c>
      <c r="C11" s="156">
        <f t="shared" si="16"/>
        <v>0</v>
      </c>
      <c r="D11" s="54">
        <f t="shared" si="17"/>
        <v>0</v>
      </c>
      <c r="E11" s="157">
        <f t="shared" si="18"/>
        <v>0</v>
      </c>
      <c r="F11" s="54">
        <f t="shared" si="19"/>
        <v>0</v>
      </c>
      <c r="G11" s="157">
        <f t="shared" ref="G11:G16" si="20">+F11</f>
        <v>0</v>
      </c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4" x14ac:dyDescent="0.25">
      <c r="A12" s="153">
        <f t="shared" si="15"/>
        <v>2012</v>
      </c>
      <c r="B12" s="53">
        <f>+'Page 5. Capital Investmests'!D13</f>
        <v>0</v>
      </c>
      <c r="C12" s="154">
        <f t="shared" si="16"/>
        <v>0</v>
      </c>
      <c r="D12" s="154">
        <f t="shared" si="17"/>
        <v>0</v>
      </c>
      <c r="E12" s="53">
        <f t="shared" si="18"/>
        <v>0</v>
      </c>
      <c r="F12" s="158">
        <f t="shared" si="19"/>
        <v>0</v>
      </c>
      <c r="G12" s="53">
        <f t="shared" si="20"/>
        <v>0</v>
      </c>
      <c r="H12" s="159">
        <f t="shared" ref="H12:H16" si="21">+G12</f>
        <v>0</v>
      </c>
      <c r="I12" s="92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4" x14ac:dyDescent="0.25">
      <c r="A13" s="155">
        <f t="shared" si="15"/>
        <v>2013</v>
      </c>
      <c r="B13" s="156">
        <f>+'Page 5. Capital Investmests'!D12</f>
        <v>0</v>
      </c>
      <c r="C13" s="156">
        <f t="shared" si="16"/>
        <v>0</v>
      </c>
      <c r="D13" s="54">
        <f t="shared" si="17"/>
        <v>0</v>
      </c>
      <c r="E13" s="157">
        <f t="shared" si="18"/>
        <v>0</v>
      </c>
      <c r="F13" s="54">
        <f t="shared" si="19"/>
        <v>0</v>
      </c>
      <c r="G13" s="157">
        <f t="shared" si="20"/>
        <v>0</v>
      </c>
      <c r="H13" s="54">
        <f t="shared" si="21"/>
        <v>0</v>
      </c>
      <c r="I13" s="54">
        <f t="shared" ref="I13:I16" si="22">+H13</f>
        <v>0</v>
      </c>
      <c r="J13" s="92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4" x14ac:dyDescent="0.25">
      <c r="A14" s="153">
        <f t="shared" si="15"/>
        <v>2014</v>
      </c>
      <c r="B14" s="53">
        <f>+'Page 5. Capital Investmests'!D11</f>
        <v>0</v>
      </c>
      <c r="C14" s="154">
        <f t="shared" si="16"/>
        <v>0</v>
      </c>
      <c r="D14" s="154">
        <f t="shared" si="17"/>
        <v>0</v>
      </c>
      <c r="E14" s="53">
        <f t="shared" si="18"/>
        <v>0</v>
      </c>
      <c r="F14" s="158">
        <f t="shared" si="19"/>
        <v>0</v>
      </c>
      <c r="G14" s="53">
        <f t="shared" si="20"/>
        <v>0</v>
      </c>
      <c r="H14" s="159">
        <f t="shared" si="21"/>
        <v>0</v>
      </c>
      <c r="I14" s="159">
        <f t="shared" si="22"/>
        <v>0</v>
      </c>
      <c r="J14" s="159">
        <f t="shared" ref="J14:J16" si="23">+I14</f>
        <v>0</v>
      </c>
      <c r="K14" s="92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4" x14ac:dyDescent="0.25">
      <c r="A15" s="155">
        <f t="shared" si="15"/>
        <v>2015</v>
      </c>
      <c r="B15" s="156">
        <f>+'Page 5. Capital Investmests'!D10</f>
        <v>0</v>
      </c>
      <c r="C15" s="156">
        <f t="shared" si="16"/>
        <v>0</v>
      </c>
      <c r="D15" s="54">
        <f t="shared" si="17"/>
        <v>0</v>
      </c>
      <c r="E15" s="157">
        <f t="shared" si="18"/>
        <v>0</v>
      </c>
      <c r="F15" s="54">
        <f t="shared" si="19"/>
        <v>0</v>
      </c>
      <c r="G15" s="157">
        <f t="shared" si="20"/>
        <v>0</v>
      </c>
      <c r="H15" s="54">
        <f t="shared" si="21"/>
        <v>0</v>
      </c>
      <c r="I15" s="54">
        <f t="shared" si="22"/>
        <v>0</v>
      </c>
      <c r="J15" s="54">
        <f t="shared" si="23"/>
        <v>0</v>
      </c>
      <c r="K15" s="157">
        <f t="shared" ref="K15:K16" si="24">+J15</f>
        <v>0</v>
      </c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4" x14ac:dyDescent="0.25">
      <c r="A16" s="153">
        <f>+A17-1</f>
        <v>2016</v>
      </c>
      <c r="B16" s="53">
        <f>+'Page 5. Capital Investmests'!D9</f>
        <v>0</v>
      </c>
      <c r="C16" s="154">
        <f t="shared" si="16"/>
        <v>0</v>
      </c>
      <c r="D16" s="154">
        <f t="shared" si="17"/>
        <v>0</v>
      </c>
      <c r="E16" s="154">
        <f t="shared" si="18"/>
        <v>0</v>
      </c>
      <c r="F16" s="154">
        <f t="shared" si="19"/>
        <v>0</v>
      </c>
      <c r="G16" s="154">
        <f t="shared" si="20"/>
        <v>0</v>
      </c>
      <c r="H16" s="154">
        <f t="shared" si="21"/>
        <v>0</v>
      </c>
      <c r="I16" s="154">
        <f t="shared" si="22"/>
        <v>0</v>
      </c>
      <c r="J16" s="154">
        <f t="shared" si="23"/>
        <v>0</v>
      </c>
      <c r="K16" s="154">
        <f t="shared" si="24"/>
        <v>0</v>
      </c>
      <c r="L16" s="154">
        <f t="shared" ref="L16" si="25">+K16</f>
        <v>0</v>
      </c>
      <c r="M16" s="92"/>
      <c r="N16" s="93"/>
      <c r="O16" s="93"/>
      <c r="P16" s="93"/>
      <c r="Q16" s="93"/>
      <c r="R16" s="93"/>
      <c r="S16" s="93"/>
      <c r="T16" s="93"/>
      <c r="U16" s="93"/>
      <c r="V16" s="93"/>
      <c r="X16" s="293"/>
    </row>
    <row r="17" spans="1:22" x14ac:dyDescent="0.25">
      <c r="A17" s="155">
        <f>YEAR('Page 1. Company Information'!B3)</f>
        <v>2017</v>
      </c>
      <c r="B17" s="156">
        <f>+'Page 5. Capital Investmests'!D8</f>
        <v>0</v>
      </c>
      <c r="C17" s="93"/>
      <c r="D17" s="156">
        <f>+B17/10</f>
        <v>0</v>
      </c>
      <c r="E17" s="156">
        <f t="shared" ref="E17:M17" si="26">+D17</f>
        <v>0</v>
      </c>
      <c r="F17" s="156">
        <f t="shared" si="26"/>
        <v>0</v>
      </c>
      <c r="G17" s="156">
        <f t="shared" si="26"/>
        <v>0</v>
      </c>
      <c r="H17" s="156">
        <f t="shared" si="26"/>
        <v>0</v>
      </c>
      <c r="I17" s="156">
        <f t="shared" si="26"/>
        <v>0</v>
      </c>
      <c r="J17" s="156">
        <f t="shared" si="26"/>
        <v>0</v>
      </c>
      <c r="K17" s="156">
        <f t="shared" si="26"/>
        <v>0</v>
      </c>
      <c r="L17" s="156">
        <f t="shared" si="26"/>
        <v>0</v>
      </c>
      <c r="M17" s="156">
        <f t="shared" si="26"/>
        <v>0</v>
      </c>
      <c r="N17" s="92"/>
      <c r="O17" s="93"/>
      <c r="P17" s="93"/>
      <c r="Q17" s="93"/>
      <c r="R17" s="93"/>
      <c r="S17" s="93"/>
      <c r="T17" s="93"/>
      <c r="U17" s="93"/>
      <c r="V17" s="93"/>
    </row>
    <row r="18" spans="1:22" hidden="1" x14ac:dyDescent="0.25">
      <c r="A18" s="153">
        <v>2017</v>
      </c>
      <c r="B18" s="154"/>
      <c r="C18" s="290"/>
      <c r="D18" s="93"/>
      <c r="E18" s="53">
        <f>+$B18/10</f>
        <v>0</v>
      </c>
      <c r="F18" s="53">
        <f>IF(SUM($D18:E18)+$B18/10&gt;$B18,0,$B18/10)</f>
        <v>0</v>
      </c>
      <c r="G18" s="53">
        <f>IF(SUM($D18:F18)+$B18/10&gt;$B18,0,$B18/10)</f>
        <v>0</v>
      </c>
      <c r="H18" s="53">
        <f>IF(SUM($D18:G18)+$B18/10&gt;$B18,0,$B18/10)</f>
        <v>0</v>
      </c>
      <c r="I18" s="53">
        <f>IF(SUM($D18:H18)+$B18/10&gt;$B18,0,$B18/10)</f>
        <v>0</v>
      </c>
      <c r="J18" s="53">
        <f>IF(SUM($D18:I18)+$B18/10&gt;$B18,0,$B18/10)</f>
        <v>0</v>
      </c>
      <c r="K18" s="53">
        <f>IF(SUM($D18:J18)+$B18/10&gt;$B18,0,$B18/10)</f>
        <v>0</v>
      </c>
      <c r="L18" s="53">
        <f>IF(SUM($D18:K18)+$B18/10&gt;$B18,0,$B18/10)</f>
        <v>0</v>
      </c>
      <c r="M18" s="53">
        <f>IF(SUM($D18:L18)+$B18/10&gt;$B18,0,$B18/10)</f>
        <v>0</v>
      </c>
      <c r="N18" s="53">
        <f>IF(SUM($D18:M18)+$B18/10&gt;$B18,0,$B18/10)</f>
        <v>0</v>
      </c>
      <c r="O18" s="92"/>
      <c r="P18" s="93"/>
      <c r="Q18" s="93"/>
      <c r="R18" s="93"/>
      <c r="S18" s="93"/>
      <c r="T18" s="93"/>
      <c r="U18" s="93"/>
      <c r="V18" s="93"/>
    </row>
    <row r="19" spans="1:22" hidden="1" x14ac:dyDescent="0.25">
      <c r="A19" s="155">
        <v>2018</v>
      </c>
      <c r="B19" s="156"/>
      <c r="C19" s="291"/>
      <c r="D19" s="93"/>
      <c r="E19" s="93"/>
      <c r="F19" s="156">
        <f>+$B19/10</f>
        <v>0</v>
      </c>
      <c r="G19" s="156">
        <f>IF(SUM($D19:F19)+$B19/10&gt;$B19,0,$B19/10)</f>
        <v>0</v>
      </c>
      <c r="H19" s="156">
        <f>IF(SUM($D19:G19)+$B19/10&gt;$B19,0,$B19/10)</f>
        <v>0</v>
      </c>
      <c r="I19" s="156">
        <f>IF(SUM($D19:H19)+$B19/10&gt;$B19,0,$B19/10)</f>
        <v>0</v>
      </c>
      <c r="J19" s="156">
        <f>IF(SUM($D19:I19)+$B19/10&gt;$B19,0,$B19/10)</f>
        <v>0</v>
      </c>
      <c r="K19" s="156">
        <f>IF(SUM($D19:J19)+$B19/10&gt;$B19,0,$B19/10)</f>
        <v>0</v>
      </c>
      <c r="L19" s="156">
        <f>IF(SUM($D19:K19)+$B19/10&gt;$B19,0,$B19/10)</f>
        <v>0</v>
      </c>
      <c r="M19" s="156">
        <f>IF(SUM($D19:L19)+$B19/10&gt;$B19,0,$B19/10)</f>
        <v>0</v>
      </c>
      <c r="N19" s="156">
        <f>IF(SUM($D19:M19)+$B19/10&gt;$B19,0,$B19/10)</f>
        <v>0</v>
      </c>
      <c r="O19" s="156">
        <f>IF(SUM($D19:N19)+$B19/10&gt;$B19,0,$B19/10)</f>
        <v>0</v>
      </c>
      <c r="P19" s="93"/>
      <c r="Q19" s="93"/>
      <c r="R19" s="93"/>
      <c r="S19" s="93"/>
      <c r="T19" s="93"/>
      <c r="U19" s="93"/>
      <c r="V19" s="93"/>
    </row>
    <row r="20" spans="1:22" hidden="1" x14ac:dyDescent="0.25">
      <c r="A20" s="153">
        <v>2019</v>
      </c>
      <c r="B20" s="154"/>
      <c r="C20" s="290"/>
      <c r="D20" s="93"/>
      <c r="E20" s="93"/>
      <c r="F20" s="93"/>
      <c r="G20" s="53">
        <f>+$B20/10</f>
        <v>0</v>
      </c>
      <c r="H20" s="53">
        <f>IF(SUM($D20:G20)+$B20/10&gt;$B20,0,$B20/10)</f>
        <v>0</v>
      </c>
      <c r="I20" s="53">
        <f>IF(SUM($D20:H20)+$B20/10&gt;$B20,0,$B20/10)</f>
        <v>0</v>
      </c>
      <c r="J20" s="53">
        <f>IF(SUM($D20:I20)+$B20/10&gt;$B20,0,$B20/10)</f>
        <v>0</v>
      </c>
      <c r="K20" s="53">
        <f>IF(SUM($D20:J20)+$B20/10&gt;$B20,0,$B20/10)</f>
        <v>0</v>
      </c>
      <c r="L20" s="53">
        <f>IF(SUM($D20:K20)+$B20/10&gt;$B20,0,$B20/10)</f>
        <v>0</v>
      </c>
      <c r="M20" s="53">
        <f>IF(SUM($D20:L20)+$B20/10&gt;$B20,0,$B20/10)</f>
        <v>0</v>
      </c>
      <c r="N20" s="53">
        <f>IF(SUM($D20:M20)+$B20/10&gt;$B20,0,$B20/10)</f>
        <v>0</v>
      </c>
      <c r="O20" s="53">
        <f>IF(SUM($D20:N20)+$B20/10&gt;$B20,0,$B20/10)</f>
        <v>0</v>
      </c>
      <c r="P20" s="53">
        <f>IF(SUM($D20:O20)+$B20/10&gt;$B20,0,$B20/10)</f>
        <v>0</v>
      </c>
      <c r="Q20" s="92"/>
      <c r="R20" s="93"/>
      <c r="S20" s="93"/>
      <c r="T20" s="93"/>
      <c r="U20" s="93"/>
      <c r="V20" s="93"/>
    </row>
    <row r="21" spans="1:22" hidden="1" x14ac:dyDescent="0.25">
      <c r="A21" s="155">
        <v>2020</v>
      </c>
      <c r="B21" s="156"/>
      <c r="C21" s="291"/>
      <c r="D21" s="93"/>
      <c r="E21" s="93"/>
      <c r="F21" s="93"/>
      <c r="G21" s="93"/>
      <c r="H21" s="156">
        <f>+$B21/10</f>
        <v>0</v>
      </c>
      <c r="I21" s="156">
        <f>IF(SUM($D21:H21)+$B21/10&gt;$B21,0,$B21/10)</f>
        <v>0</v>
      </c>
      <c r="J21" s="156">
        <f>IF(SUM($D21:I21)+$B21/10&gt;$B21,0,$B21/10)</f>
        <v>0</v>
      </c>
      <c r="K21" s="156">
        <f>IF(SUM($D21:J21)+$B21/10&gt;$B21,0,$B21/10)</f>
        <v>0</v>
      </c>
      <c r="L21" s="156">
        <f>IF(SUM($D21:K21)+$B21/10&gt;$B21,0,$B21/10)</f>
        <v>0</v>
      </c>
      <c r="M21" s="156">
        <f>IF(SUM($D21:L21)+$B21/10&gt;$B21,0,$B21/10)</f>
        <v>0</v>
      </c>
      <c r="N21" s="156">
        <f>IF(SUM($D21:M21)+$B21/10&gt;$B21,0,$B21/10)</f>
        <v>0</v>
      </c>
      <c r="O21" s="156">
        <f>IF(SUM($D21:N21)+$B21/10&gt;$B21,0,$B21/10)</f>
        <v>0</v>
      </c>
      <c r="P21" s="156">
        <f>IF(SUM($D21:O21)+$B21/10&gt;$B21,0,$B21/10)</f>
        <v>0</v>
      </c>
      <c r="Q21" s="156">
        <f>IF(SUM($D21:P21)+$B21/10&gt;$B21,0,$B21/10)</f>
        <v>0</v>
      </c>
      <c r="R21" s="93"/>
      <c r="S21" s="93"/>
      <c r="T21" s="93"/>
      <c r="U21" s="93"/>
      <c r="V21" s="93"/>
    </row>
    <row r="22" spans="1:22" hidden="1" x14ac:dyDescent="0.25">
      <c r="A22" s="153">
        <v>2021</v>
      </c>
      <c r="B22" s="154"/>
      <c r="C22" s="290"/>
      <c r="D22" s="93"/>
      <c r="E22" s="93"/>
      <c r="F22" s="93"/>
      <c r="G22" s="93"/>
      <c r="H22" s="93"/>
      <c r="I22" s="53">
        <f>+$B22/10</f>
        <v>0</v>
      </c>
      <c r="J22" s="53">
        <f>IF(SUM($D22:I22)+$B22/10&gt;$B22,0,$B22/10)</f>
        <v>0</v>
      </c>
      <c r="K22" s="53">
        <f>IF(SUM($D22:J22)+$B22/10&gt;$B22,0,$B22/10)</f>
        <v>0</v>
      </c>
      <c r="L22" s="53">
        <f>IF(SUM($D22:K22)+$B22/10&gt;$B22,0,$B22/10)</f>
        <v>0</v>
      </c>
      <c r="M22" s="53">
        <f>IF(SUM($D22:L22)+$B22/10&gt;$B22,0,$B22/10)</f>
        <v>0</v>
      </c>
      <c r="N22" s="53">
        <f>IF(SUM($D22:M22)+$B22/10&gt;$B22,0,$B22/10)</f>
        <v>0</v>
      </c>
      <c r="O22" s="53">
        <f>IF(SUM($D22:N22)+$B22/10&gt;$B22,0,$B22/10)</f>
        <v>0</v>
      </c>
      <c r="P22" s="53">
        <f>IF(SUM($D22:O22)+$B22/10&gt;$B22,0,$B22/10)</f>
        <v>0</v>
      </c>
      <c r="Q22" s="53">
        <f>IF(SUM($D22:P22)+$B22/10&gt;$B22,0,$B22/10)</f>
        <v>0</v>
      </c>
      <c r="R22" s="53">
        <f>IF(SUM($D22:Q22)+$B22/10&gt;$B22,0,$B22/10)</f>
        <v>0</v>
      </c>
      <c r="S22" s="93"/>
      <c r="T22" s="93"/>
      <c r="U22" s="93"/>
      <c r="V22" s="93"/>
    </row>
    <row r="23" spans="1:22" hidden="1" x14ac:dyDescent="0.25">
      <c r="A23" s="155">
        <v>2022</v>
      </c>
      <c r="B23" s="156"/>
      <c r="C23" s="291"/>
      <c r="D23" s="93"/>
      <c r="E23" s="93"/>
      <c r="F23" s="93"/>
      <c r="G23" s="93"/>
      <c r="H23" s="93"/>
      <c r="I23" s="93"/>
      <c r="J23" s="156">
        <f>+$B23/10</f>
        <v>0</v>
      </c>
      <c r="K23" s="156">
        <f>IF(SUM($D23:J23)+$B23/10&gt;$B23,0,$B23/10)</f>
        <v>0</v>
      </c>
      <c r="L23" s="156">
        <f>IF(SUM($D23:K23)+$B23/10&gt;$B23,0,$B23/10)</f>
        <v>0</v>
      </c>
      <c r="M23" s="156">
        <f>IF(SUM($D23:L23)+$B23/10&gt;$B23,0,$B23/10)</f>
        <v>0</v>
      </c>
      <c r="N23" s="156">
        <f>IF(SUM($D23:M23)+$B23/10&gt;$B23,0,$B23/10)</f>
        <v>0</v>
      </c>
      <c r="O23" s="156">
        <f>IF(SUM($D23:N23)+$B23/10&gt;$B23,0,$B23/10)</f>
        <v>0</v>
      </c>
      <c r="P23" s="156">
        <f>IF(SUM($D23:O23)+$B23/10&gt;$B23,0,$B23/10)</f>
        <v>0</v>
      </c>
      <c r="Q23" s="156">
        <f>IF(SUM($D23:P23)+$B23/10&gt;$B23,0,$B23/10)</f>
        <v>0</v>
      </c>
      <c r="R23" s="156">
        <f>IF(SUM($D23:Q23)+$B23/10&gt;$B23,0,$B23/10)</f>
        <v>0</v>
      </c>
      <c r="S23" s="156">
        <f>IF(SUM($D23:R23)+$B23/10&gt;$B23,0,$B23/10)</f>
        <v>0</v>
      </c>
      <c r="T23" s="92"/>
      <c r="U23" s="93"/>
      <c r="V23" s="93"/>
    </row>
    <row r="24" spans="1:22" hidden="1" x14ac:dyDescent="0.25">
      <c r="A24" s="153">
        <v>2023</v>
      </c>
      <c r="B24" s="154"/>
      <c r="C24" s="290"/>
      <c r="D24" s="93"/>
      <c r="E24" s="93"/>
      <c r="F24" s="93"/>
      <c r="G24" s="93"/>
      <c r="H24" s="93"/>
      <c r="I24" s="93"/>
      <c r="J24" s="93"/>
      <c r="K24" s="53">
        <f>+$B24/10</f>
        <v>0</v>
      </c>
      <c r="L24" s="53">
        <f>IF(SUM($D24:K24)+$B24/10&gt;$B24,0,$B24/10)</f>
        <v>0</v>
      </c>
      <c r="M24" s="53">
        <f>IF(SUM($D24:L24)+$B24/10&gt;$B24,0,$B24/10)</f>
        <v>0</v>
      </c>
      <c r="N24" s="53">
        <f>IF(SUM($D24:M24)+$B24/10&gt;$B24,0,$B24/10)</f>
        <v>0</v>
      </c>
      <c r="O24" s="53">
        <f>IF(SUM($D24:N24)+$B24/10&gt;$B24,0,$B24/10)</f>
        <v>0</v>
      </c>
      <c r="P24" s="53">
        <f>IF(SUM($D24:O24)+$B24/10&gt;$B24,0,$B24/10)</f>
        <v>0</v>
      </c>
      <c r="Q24" s="53">
        <f>IF(SUM($D24:P24)+$B24/10&gt;$B24,0,$B24/10)</f>
        <v>0</v>
      </c>
      <c r="R24" s="53">
        <f>IF(SUM($D24:Q24)+$B24/10&gt;$B24,0,$B24/10)</f>
        <v>0</v>
      </c>
      <c r="S24" s="53">
        <f>IF(SUM($D24:R24)+$B24/10&gt;$B24,0,$B24/10)</f>
        <v>0</v>
      </c>
      <c r="T24" s="53">
        <f>IF(SUM($D24:S24)+$B24/10&gt;$B24,0,$B24/10)</f>
        <v>0</v>
      </c>
      <c r="U24" s="92"/>
      <c r="V24" s="93"/>
    </row>
    <row r="25" spans="1:22" hidden="1" x14ac:dyDescent="0.25">
      <c r="A25" s="155">
        <v>2024</v>
      </c>
      <c r="B25" s="156"/>
      <c r="C25" s="291"/>
      <c r="D25" s="93"/>
      <c r="E25" s="93"/>
      <c r="F25" s="93"/>
      <c r="G25" s="93"/>
      <c r="H25" s="93"/>
      <c r="I25" s="93"/>
      <c r="J25" s="93"/>
      <c r="K25" s="93"/>
      <c r="L25" s="156">
        <f>+$B25/10</f>
        <v>0</v>
      </c>
      <c r="M25" s="156">
        <f>IF(SUM($D25:L25)+$B25/10&gt;$B25,0,$B25/10)</f>
        <v>0</v>
      </c>
      <c r="N25" s="156">
        <f>IF(SUM($D25:M25)+$B25/10&gt;$B25,0,$B25/10)</f>
        <v>0</v>
      </c>
      <c r="O25" s="156">
        <f>IF(SUM($D25:N25)+$B25/10&gt;$B25,0,$B25/10)</f>
        <v>0</v>
      </c>
      <c r="P25" s="156">
        <f>IF(SUM($D25:O25)+$B25/10&gt;$B25,0,$B25/10)</f>
        <v>0</v>
      </c>
      <c r="Q25" s="156">
        <f>IF(SUM($D25:P25)+$B25/10&gt;$B25,0,$B25/10)</f>
        <v>0</v>
      </c>
      <c r="R25" s="156">
        <f>IF(SUM($D25:Q25)+$B25/10&gt;$B25,0,$B25/10)</f>
        <v>0</v>
      </c>
      <c r="S25" s="156">
        <f>IF(SUM($D25:R25)+$B25/10&gt;$B25,0,$B25/10)</f>
        <v>0</v>
      </c>
      <c r="T25" s="156">
        <f>IF(SUM($D25:S25)+$B25/10&gt;$B25,0,$B25/10)</f>
        <v>0</v>
      </c>
      <c r="U25" s="156">
        <f>IF(SUM($D25:T25)+$B25/10&gt;$B25,0,$B25/10)</f>
        <v>0</v>
      </c>
      <c r="V25" s="92"/>
    </row>
    <row r="26" spans="1:22" hidden="1" x14ac:dyDescent="0.25">
      <c r="A26" s="153">
        <v>2025</v>
      </c>
      <c r="B26" s="154"/>
      <c r="C26" s="290"/>
      <c r="D26" s="93"/>
      <c r="E26" s="93"/>
      <c r="F26" s="93"/>
      <c r="G26" s="93"/>
      <c r="H26" s="93"/>
      <c r="I26" s="93"/>
      <c r="J26" s="93"/>
      <c r="K26" s="93"/>
      <c r="L26" s="93"/>
      <c r="M26" s="53">
        <f>+$B26/10</f>
        <v>0</v>
      </c>
      <c r="N26" s="53">
        <f>IF(SUM($D26:M26)+$B26/10&gt;$B26,0,$B26/10)</f>
        <v>0</v>
      </c>
      <c r="O26" s="53">
        <f>IF(SUM($D26:N26)+$B26/10&gt;$B26,0,$B26/10)</f>
        <v>0</v>
      </c>
      <c r="P26" s="53">
        <f>IF(SUM($D26:O26)+$B26/10&gt;$B26,0,$B26/10)</f>
        <v>0</v>
      </c>
      <c r="Q26" s="53">
        <f>IF(SUM($D26:P26)+$B26/10&gt;$B26,0,$B26/10)</f>
        <v>0</v>
      </c>
      <c r="R26" s="53">
        <f>IF(SUM($D26:Q26)+$B26/10&gt;$B26,0,$B26/10)</f>
        <v>0</v>
      </c>
      <c r="S26" s="53">
        <f>IF(SUM($D26:R26)+$B26/10&gt;$B26,0,$B26/10)</f>
        <v>0</v>
      </c>
      <c r="T26" s="53">
        <f>IF(SUM($D26:S26)+$B26/10&gt;$B26,0,$B26/10)</f>
        <v>0</v>
      </c>
      <c r="U26" s="53">
        <f>IF(SUM($D26:T26)+$B26/10&gt;$B26,0,$B26/10)</f>
        <v>0</v>
      </c>
      <c r="V26" s="53">
        <f>IF(SUM($D26:U26)+$B26/10&gt;$B26,0,$B26/10)</f>
        <v>0</v>
      </c>
    </row>
    <row r="28" spans="1:22" x14ac:dyDescent="0.25">
      <c r="B28" s="38" t="s">
        <v>77</v>
      </c>
      <c r="C28" s="40">
        <f>SUM(C7:C27)</f>
        <v>0</v>
      </c>
      <c r="D28" s="40">
        <f t="shared" ref="D28:M28" si="27">SUM(D7:D27)</f>
        <v>0</v>
      </c>
      <c r="E28" s="40">
        <f t="shared" si="27"/>
        <v>0</v>
      </c>
      <c r="F28" s="40">
        <f t="shared" si="27"/>
        <v>0</v>
      </c>
      <c r="G28" s="40">
        <f t="shared" si="27"/>
        <v>0</v>
      </c>
      <c r="H28" s="40">
        <f t="shared" si="27"/>
        <v>0</v>
      </c>
      <c r="I28" s="40">
        <f t="shared" si="27"/>
        <v>0</v>
      </c>
      <c r="J28" s="40">
        <f t="shared" si="27"/>
        <v>0</v>
      </c>
      <c r="K28" s="40">
        <f t="shared" si="27"/>
        <v>0</v>
      </c>
      <c r="L28" s="40">
        <f t="shared" si="27"/>
        <v>0</v>
      </c>
      <c r="M28" s="40">
        <f t="shared" si="27"/>
        <v>0</v>
      </c>
      <c r="N28" s="40">
        <f t="shared" ref="N28:S28" si="28">SUM(N8:N27)</f>
        <v>0</v>
      </c>
      <c r="O28" s="40">
        <f t="shared" si="28"/>
        <v>0</v>
      </c>
      <c r="P28" s="40">
        <f t="shared" si="28"/>
        <v>0</v>
      </c>
      <c r="Q28" s="40">
        <f t="shared" si="28"/>
        <v>0</v>
      </c>
      <c r="R28" s="40">
        <f t="shared" si="28"/>
        <v>0</v>
      </c>
      <c r="S28" s="40">
        <f t="shared" si="28"/>
        <v>0</v>
      </c>
      <c r="T28" s="40">
        <f t="shared" ref="T28:V28" si="29">SUM(T8:T27)</f>
        <v>0</v>
      </c>
      <c r="U28" s="40">
        <f t="shared" si="29"/>
        <v>0</v>
      </c>
      <c r="V28" s="40">
        <f t="shared" si="29"/>
        <v>0</v>
      </c>
    </row>
  </sheetData>
  <sheetProtection algorithmName="SHA-512" hashValue="MPC+HW2WAe635xkVPJld1OLg1aIqZwT4C1Vboflhk21rKhnODidAl/UQJIn+y16qMf3uD2hieiZgnoSr+khsWw==" saltValue="B3QJPAIXxg1wdrUr6eJ3h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A1:D1"/>
  </mergeCells>
  <dataValidations count="2">
    <dataValidation type="decimal" allowBlank="1" showInputMessage="1" showErrorMessage="1" sqref="B7:C13 E10:F12 G11:G12 H12 L16:L17 E18:N18 M17 D10:D16 G20:P20 M26:V26 F19:O19 E13:I16 J14:J17 K15:K17 H21:Q21 I22:R22 L25:U25 I24:I26 J25:J26 K26 K24:T24 J23:S23 D17:I17 D7:E9">
      <formula1>-10000000000</formula1>
      <formula2>10000000000</formula2>
    </dataValidation>
    <dataValidation type="decimal" allowBlank="1" showInputMessage="1" showErrorMessage="1" sqref="H7:H11 D18:D26 E19:E26 F20:F26 G21:G26 H22:H26 H29:Q29 R7:R21 Q7:Q20 P7:P19 O7:O18 N7:N17 M7:M16 L7:L15 K7:K14 J7:J13 G7:G10 F7:F9 I7:I12 U23:U24 I23 J24 K25 L26 S7:S22 U7:V22 T7:T23 V23:V25">
      <formula1>0</formula1>
      <formula2>1000</formula2>
    </dataValidation>
  </dataValidations>
  <pageMargins left="0.7" right="0.7" top="0.75" bottom="0.75" header="0.3" footer="0.3"/>
  <pageSetup scale="75" orientation="landscape" r:id="rId1"/>
  <headerFooter differentOddEven="1">
    <oddFooter>&amp;R&amp;F
&amp;D&amp;CSaudi Aramco: Confidential</oddFooter>
    <evenFooter>&amp;CSaudi Aramco: Confidential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showGridLines="0" zoomScale="85" zoomScaleNormal="85" workbookViewId="0">
      <selection activeCell="D10" sqref="D10"/>
    </sheetView>
  </sheetViews>
  <sheetFormatPr defaultRowHeight="15" x14ac:dyDescent="0.25"/>
  <cols>
    <col min="1" max="1" width="6.140625" style="41" customWidth="1"/>
    <col min="2" max="2" width="45" style="41" customWidth="1"/>
    <col min="3" max="3" width="49.140625" style="41" customWidth="1"/>
    <col min="4" max="5" width="15.7109375" style="41" customWidth="1"/>
    <col min="6" max="16384" width="9.140625" style="41"/>
  </cols>
  <sheetData>
    <row r="1" spans="1:5" ht="26.25" x14ac:dyDescent="0.4">
      <c r="A1" s="483" t="str">
        <f>+'Page 1. Company Information'!$B$2</f>
        <v>Name of Company</v>
      </c>
      <c r="B1" s="483"/>
      <c r="C1" s="483"/>
    </row>
    <row r="2" spans="1:5" ht="23.25" x14ac:dyDescent="0.35">
      <c r="A2" s="484" t="s">
        <v>89</v>
      </c>
      <c r="B2" s="484"/>
      <c r="C2" s="484"/>
    </row>
    <row r="3" spans="1:5" ht="9" customHeight="1" x14ac:dyDescent="0.35">
      <c r="A3" s="62"/>
      <c r="B3" s="62"/>
      <c r="C3" s="62"/>
    </row>
    <row r="4" spans="1:5" ht="21" x14ac:dyDescent="0.35">
      <c r="A4" s="498" t="s">
        <v>4</v>
      </c>
      <c r="B4" s="498"/>
      <c r="C4" s="62"/>
    </row>
    <row r="5" spans="1:5" ht="15.75" x14ac:dyDescent="0.25">
      <c r="C5" s="147"/>
    </row>
    <row r="6" spans="1:5" ht="2.1" customHeight="1" x14ac:dyDescent="0.35">
      <c r="B6" s="63"/>
      <c r="C6" s="63"/>
    </row>
    <row r="7" spans="1:5" ht="21" x14ac:dyDescent="0.35">
      <c r="A7" s="547" t="s">
        <v>353</v>
      </c>
      <c r="B7" s="547"/>
      <c r="C7" s="65"/>
      <c r="D7" s="277">
        <v>2016</v>
      </c>
      <c r="E7" s="334">
        <v>2017</v>
      </c>
    </row>
    <row r="8" spans="1:5" ht="17.25" x14ac:dyDescent="0.25">
      <c r="A8" s="545"/>
      <c r="B8" s="546"/>
      <c r="C8" s="210" t="s">
        <v>13</v>
      </c>
      <c r="D8" s="68" t="s">
        <v>27</v>
      </c>
      <c r="E8" s="68" t="s">
        <v>27</v>
      </c>
    </row>
    <row r="9" spans="1:5" ht="18.75" customHeight="1" x14ac:dyDescent="0.25">
      <c r="A9" s="441" t="s">
        <v>169</v>
      </c>
      <c r="B9" s="441"/>
      <c r="C9" s="69"/>
      <c r="D9" s="121"/>
      <c r="E9" s="121"/>
    </row>
    <row r="10" spans="1:5" ht="31.5" customHeight="1" x14ac:dyDescent="0.25">
      <c r="A10" s="437" t="s">
        <v>143</v>
      </c>
      <c r="B10" s="438"/>
      <c r="C10" s="79" t="s">
        <v>22</v>
      </c>
      <c r="D10" s="243">
        <v>0</v>
      </c>
      <c r="E10" s="243">
        <v>0</v>
      </c>
    </row>
    <row r="11" spans="1:5" ht="101.25" customHeight="1" x14ac:dyDescent="0.25">
      <c r="A11" s="439" t="s">
        <v>144</v>
      </c>
      <c r="B11" s="440"/>
      <c r="C11" s="80" t="s">
        <v>67</v>
      </c>
      <c r="D11" s="241">
        <v>0</v>
      </c>
      <c r="E11" s="241">
        <v>0</v>
      </c>
    </row>
    <row r="12" spans="1:5" ht="15.75" x14ac:dyDescent="0.25">
      <c r="A12" s="84"/>
      <c r="B12" s="84"/>
      <c r="C12" s="81" t="s">
        <v>17</v>
      </c>
      <c r="D12" s="117">
        <f t="shared" ref="D12:E12" si="0">IF(ISERR(D11/D10),0,D11/D10)</f>
        <v>0</v>
      </c>
      <c r="E12" s="117">
        <f t="shared" si="0"/>
        <v>0</v>
      </c>
    </row>
    <row r="13" spans="1:5" ht="18.75" x14ac:dyDescent="0.25">
      <c r="A13" s="85" t="s">
        <v>170</v>
      </c>
      <c r="B13" s="85"/>
      <c r="C13" s="69"/>
      <c r="D13" s="112"/>
      <c r="E13" s="112"/>
    </row>
    <row r="14" spans="1:5" ht="57" customHeight="1" x14ac:dyDescent="0.25">
      <c r="A14" s="437" t="s">
        <v>6</v>
      </c>
      <c r="B14" s="438"/>
      <c r="C14" s="79" t="s">
        <v>145</v>
      </c>
      <c r="D14" s="245">
        <v>0</v>
      </c>
      <c r="E14" s="245">
        <v>0</v>
      </c>
    </row>
    <row r="15" spans="1:5" ht="31.5" x14ac:dyDescent="0.25">
      <c r="A15" s="439" t="s">
        <v>16</v>
      </c>
      <c r="B15" s="440"/>
      <c r="C15" s="80" t="s">
        <v>146</v>
      </c>
      <c r="D15" s="241">
        <v>0</v>
      </c>
      <c r="E15" s="241">
        <v>0</v>
      </c>
    </row>
    <row r="16" spans="1:5" ht="15.75" x14ac:dyDescent="0.25">
      <c r="A16" s="84"/>
      <c r="B16" s="84"/>
      <c r="C16" s="86"/>
      <c r="D16" s="105"/>
      <c r="E16" s="105"/>
    </row>
    <row r="19" spans="1:5" ht="18.75" x14ac:dyDescent="0.25">
      <c r="A19" s="160" t="s">
        <v>171</v>
      </c>
      <c r="B19" s="160"/>
      <c r="C19" s="160"/>
    </row>
    <row r="20" spans="1:5" ht="18.75" x14ac:dyDescent="0.25">
      <c r="A20" s="161" t="s">
        <v>153</v>
      </c>
      <c r="B20" s="160"/>
      <c r="C20" s="160"/>
    </row>
    <row r="21" spans="1:5" x14ac:dyDescent="0.25">
      <c r="A21" s="48" t="s">
        <v>152</v>
      </c>
      <c r="B21" s="48"/>
      <c r="C21" s="48"/>
    </row>
    <row r="22" spans="1:5" x14ac:dyDescent="0.25">
      <c r="A22" s="162" t="s">
        <v>147</v>
      </c>
      <c r="B22" s="548"/>
      <c r="C22" s="548"/>
    </row>
    <row r="23" spans="1:5" x14ac:dyDescent="0.25">
      <c r="A23" s="162" t="s">
        <v>148</v>
      </c>
      <c r="B23" s="548"/>
      <c r="C23" s="548"/>
    </row>
    <row r="24" spans="1:5" x14ac:dyDescent="0.25">
      <c r="A24" s="162" t="s">
        <v>149</v>
      </c>
      <c r="B24" s="548"/>
      <c r="C24" s="548"/>
    </row>
    <row r="25" spans="1:5" x14ac:dyDescent="0.25">
      <c r="A25" s="162" t="s">
        <v>150</v>
      </c>
      <c r="B25" s="548"/>
      <c r="C25" s="548"/>
    </row>
    <row r="26" spans="1:5" x14ac:dyDescent="0.25">
      <c r="A26" s="162" t="s">
        <v>151</v>
      </c>
      <c r="B26" s="549"/>
      <c r="C26" s="549"/>
    </row>
    <row r="27" spans="1:5" x14ac:dyDescent="0.25">
      <c r="A27" s="162"/>
      <c r="B27" s="46"/>
      <c r="C27" s="46"/>
      <c r="D27" s="46"/>
      <c r="E27" s="46"/>
    </row>
    <row r="28" spans="1:5" x14ac:dyDescent="0.25">
      <c r="A28" s="162"/>
      <c r="B28" s="46"/>
      <c r="C28" s="46"/>
      <c r="D28" s="46"/>
      <c r="E28" s="46"/>
    </row>
    <row r="29" spans="1:5" ht="18.75" x14ac:dyDescent="0.25">
      <c r="A29" s="161" t="s">
        <v>154</v>
      </c>
      <c r="B29" s="160"/>
      <c r="C29" s="160"/>
    </row>
    <row r="30" spans="1:5" x14ac:dyDescent="0.25">
      <c r="A30" s="48" t="s">
        <v>155</v>
      </c>
      <c r="B30" s="48"/>
      <c r="C30" s="48"/>
      <c r="D30" s="46"/>
      <c r="E30" s="46"/>
    </row>
    <row r="31" spans="1:5" x14ac:dyDescent="0.25">
      <c r="A31" s="162"/>
      <c r="B31" s="548"/>
      <c r="C31" s="548"/>
    </row>
    <row r="32" spans="1:5" x14ac:dyDescent="0.25">
      <c r="A32" s="162"/>
      <c r="B32" s="548"/>
      <c r="C32" s="548"/>
    </row>
    <row r="33" spans="1:5" x14ac:dyDescent="0.25">
      <c r="A33" s="162"/>
      <c r="B33" s="548"/>
      <c r="C33" s="548"/>
    </row>
    <row r="34" spans="1:5" x14ac:dyDescent="0.25">
      <c r="A34" s="162"/>
      <c r="B34" s="548"/>
      <c r="C34" s="548"/>
    </row>
    <row r="35" spans="1:5" x14ac:dyDescent="0.25">
      <c r="B35" s="548"/>
      <c r="C35" s="548"/>
    </row>
    <row r="36" spans="1:5" x14ac:dyDescent="0.25">
      <c r="D36" s="46"/>
      <c r="E36" s="46"/>
    </row>
    <row r="37" spans="1:5" x14ac:dyDescent="0.25">
      <c r="D37" s="46"/>
      <c r="E37" s="46"/>
    </row>
    <row r="38" spans="1:5" ht="18.75" x14ac:dyDescent="0.25">
      <c r="A38" s="161" t="s">
        <v>157</v>
      </c>
      <c r="B38" s="160"/>
      <c r="C38" s="160"/>
      <c r="D38" s="46"/>
      <c r="E38" s="46"/>
    </row>
    <row r="39" spans="1:5" x14ac:dyDescent="0.25">
      <c r="A39" s="48" t="s">
        <v>156</v>
      </c>
      <c r="B39" s="48"/>
      <c r="C39" s="48"/>
      <c r="D39" s="46"/>
      <c r="E39" s="46"/>
    </row>
    <row r="40" spans="1:5" x14ac:dyDescent="0.25">
      <c r="A40" s="162" t="s">
        <v>147</v>
      </c>
      <c r="B40" s="548"/>
      <c r="C40" s="548"/>
    </row>
    <row r="41" spans="1:5" x14ac:dyDescent="0.25">
      <c r="A41" s="162" t="s">
        <v>148</v>
      </c>
      <c r="B41" s="548"/>
      <c r="C41" s="548"/>
    </row>
    <row r="42" spans="1:5" x14ac:dyDescent="0.25">
      <c r="A42" s="162" t="s">
        <v>149</v>
      </c>
      <c r="B42" s="548"/>
      <c r="C42" s="548"/>
    </row>
    <row r="43" spans="1:5" x14ac:dyDescent="0.25">
      <c r="A43" s="162" t="s">
        <v>150</v>
      </c>
      <c r="B43" s="548"/>
      <c r="C43" s="548"/>
    </row>
    <row r="44" spans="1:5" x14ac:dyDescent="0.25">
      <c r="A44" s="162" t="s">
        <v>151</v>
      </c>
      <c r="B44" s="548"/>
      <c r="C44" s="548"/>
    </row>
    <row r="45" spans="1:5" x14ac:dyDescent="0.25">
      <c r="D45" s="46"/>
      <c r="E45" s="46"/>
    </row>
    <row r="46" spans="1:5" x14ac:dyDescent="0.25">
      <c r="D46" s="46"/>
      <c r="E46" s="46"/>
    </row>
    <row r="47" spans="1:5" x14ac:dyDescent="0.25">
      <c r="D47" s="46"/>
      <c r="E47" s="46"/>
    </row>
    <row r="48" spans="1:5" x14ac:dyDescent="0.25">
      <c r="D48" s="46"/>
      <c r="E48" s="46"/>
    </row>
    <row r="49" spans="4:5" x14ac:dyDescent="0.25">
      <c r="D49" s="46"/>
      <c r="E49" s="46"/>
    </row>
    <row r="50" spans="4:5" x14ac:dyDescent="0.25">
      <c r="D50" s="46"/>
      <c r="E50" s="46"/>
    </row>
    <row r="51" spans="4:5" x14ac:dyDescent="0.25">
      <c r="D51" s="46"/>
      <c r="E51" s="46"/>
    </row>
    <row r="52" spans="4:5" x14ac:dyDescent="0.25">
      <c r="D52" s="46"/>
      <c r="E52" s="46"/>
    </row>
    <row r="53" spans="4:5" x14ac:dyDescent="0.25">
      <c r="D53" s="46"/>
      <c r="E53" s="46"/>
    </row>
    <row r="54" spans="4:5" x14ac:dyDescent="0.25">
      <c r="D54" s="46"/>
      <c r="E54" s="46"/>
    </row>
    <row r="55" spans="4:5" x14ac:dyDescent="0.25">
      <c r="D55" s="46"/>
      <c r="E55" s="46"/>
    </row>
    <row r="56" spans="4:5" x14ac:dyDescent="0.25">
      <c r="D56" s="46"/>
      <c r="E56" s="46"/>
    </row>
    <row r="57" spans="4:5" x14ac:dyDescent="0.25">
      <c r="D57" s="46"/>
      <c r="E57" s="46"/>
    </row>
    <row r="58" spans="4:5" x14ac:dyDescent="0.25">
      <c r="D58" s="46"/>
      <c r="E58" s="46"/>
    </row>
    <row r="59" spans="4:5" x14ac:dyDescent="0.25">
      <c r="D59" s="46"/>
      <c r="E59" s="46"/>
    </row>
    <row r="60" spans="4:5" x14ac:dyDescent="0.25">
      <c r="D60" s="46"/>
      <c r="E60" s="46"/>
    </row>
    <row r="61" spans="4:5" x14ac:dyDescent="0.25">
      <c r="D61" s="46"/>
      <c r="E61" s="46"/>
    </row>
    <row r="62" spans="4:5" x14ac:dyDescent="0.25">
      <c r="D62" s="46"/>
      <c r="E62" s="46"/>
    </row>
    <row r="63" spans="4:5" x14ac:dyDescent="0.25">
      <c r="D63" s="46"/>
      <c r="E63" s="46"/>
    </row>
    <row r="64" spans="4:5" x14ac:dyDescent="0.25">
      <c r="D64" s="46"/>
      <c r="E64" s="46"/>
    </row>
    <row r="65" spans="4:5" x14ac:dyDescent="0.25">
      <c r="D65" s="46"/>
      <c r="E65" s="46"/>
    </row>
    <row r="66" spans="4:5" x14ac:dyDescent="0.25">
      <c r="D66" s="46"/>
      <c r="E66" s="46"/>
    </row>
    <row r="67" spans="4:5" x14ac:dyDescent="0.25">
      <c r="D67" s="46"/>
      <c r="E67" s="46"/>
    </row>
    <row r="68" spans="4:5" x14ac:dyDescent="0.25">
      <c r="D68" s="46"/>
      <c r="E68" s="46"/>
    </row>
    <row r="69" spans="4:5" x14ac:dyDescent="0.25">
      <c r="D69" s="46"/>
      <c r="E69" s="46"/>
    </row>
    <row r="70" spans="4:5" x14ac:dyDescent="0.25">
      <c r="D70" s="46"/>
      <c r="E70" s="46"/>
    </row>
    <row r="71" spans="4:5" x14ac:dyDescent="0.25">
      <c r="D71" s="46"/>
      <c r="E71" s="46"/>
    </row>
    <row r="72" spans="4:5" x14ac:dyDescent="0.25">
      <c r="D72" s="46"/>
      <c r="E72" s="46"/>
    </row>
    <row r="73" spans="4:5" x14ac:dyDescent="0.25">
      <c r="D73" s="46"/>
      <c r="E73" s="46"/>
    </row>
    <row r="74" spans="4:5" x14ac:dyDescent="0.25">
      <c r="D74" s="46"/>
      <c r="E74" s="46"/>
    </row>
    <row r="75" spans="4:5" x14ac:dyDescent="0.25">
      <c r="D75" s="46"/>
      <c r="E75" s="46"/>
    </row>
    <row r="76" spans="4:5" x14ac:dyDescent="0.25">
      <c r="D76" s="46"/>
      <c r="E76" s="46"/>
    </row>
    <row r="77" spans="4:5" x14ac:dyDescent="0.25">
      <c r="D77" s="46"/>
      <c r="E77" s="46"/>
    </row>
    <row r="78" spans="4:5" x14ac:dyDescent="0.25">
      <c r="D78" s="46"/>
      <c r="E78" s="46"/>
    </row>
    <row r="79" spans="4:5" x14ac:dyDescent="0.25">
      <c r="D79" s="46"/>
      <c r="E79" s="46"/>
    </row>
    <row r="80" spans="4:5" x14ac:dyDescent="0.25">
      <c r="D80" s="46"/>
      <c r="E80" s="46"/>
    </row>
    <row r="81" spans="4:5" x14ac:dyDescent="0.25">
      <c r="D81" s="46"/>
      <c r="E81" s="46"/>
    </row>
    <row r="82" spans="4:5" x14ac:dyDescent="0.25">
      <c r="D82" s="46"/>
      <c r="E82" s="46"/>
    </row>
    <row r="83" spans="4:5" x14ac:dyDescent="0.25">
      <c r="D83" s="46"/>
      <c r="E83" s="46"/>
    </row>
    <row r="84" spans="4:5" x14ac:dyDescent="0.25">
      <c r="D84" s="46"/>
      <c r="E84" s="46"/>
    </row>
    <row r="85" spans="4:5" x14ac:dyDescent="0.25">
      <c r="D85" s="46"/>
      <c r="E85" s="46"/>
    </row>
    <row r="86" spans="4:5" x14ac:dyDescent="0.25">
      <c r="D86" s="46"/>
      <c r="E86" s="46"/>
    </row>
    <row r="87" spans="4:5" x14ac:dyDescent="0.25">
      <c r="D87" s="46"/>
      <c r="E87" s="46"/>
    </row>
    <row r="88" spans="4:5" x14ac:dyDescent="0.25">
      <c r="D88" s="46"/>
      <c r="E88" s="46"/>
    </row>
    <row r="89" spans="4:5" x14ac:dyDescent="0.25">
      <c r="D89" s="46"/>
      <c r="E89" s="46"/>
    </row>
    <row r="90" spans="4:5" x14ac:dyDescent="0.25">
      <c r="D90" s="46"/>
      <c r="E90" s="46"/>
    </row>
    <row r="91" spans="4:5" x14ac:dyDescent="0.25">
      <c r="D91" s="46"/>
      <c r="E91" s="46"/>
    </row>
    <row r="92" spans="4:5" x14ac:dyDescent="0.25">
      <c r="D92" s="46"/>
      <c r="E92" s="46"/>
    </row>
    <row r="93" spans="4:5" x14ac:dyDescent="0.25">
      <c r="D93" s="46"/>
      <c r="E93" s="46"/>
    </row>
    <row r="94" spans="4:5" x14ac:dyDescent="0.25">
      <c r="D94" s="46"/>
      <c r="E94" s="46"/>
    </row>
    <row r="95" spans="4:5" x14ac:dyDescent="0.25">
      <c r="D95" s="46"/>
      <c r="E95" s="46"/>
    </row>
    <row r="96" spans="4:5" x14ac:dyDescent="0.25">
      <c r="D96" s="46"/>
      <c r="E96" s="46"/>
    </row>
    <row r="97" spans="4:5" x14ac:dyDescent="0.25">
      <c r="D97" s="46"/>
      <c r="E97" s="46"/>
    </row>
    <row r="98" spans="4:5" x14ac:dyDescent="0.25">
      <c r="D98" s="46"/>
      <c r="E98" s="46"/>
    </row>
    <row r="99" spans="4:5" x14ac:dyDescent="0.25">
      <c r="D99" s="46"/>
      <c r="E99" s="46"/>
    </row>
    <row r="100" spans="4:5" x14ac:dyDescent="0.25">
      <c r="D100" s="46"/>
      <c r="E100" s="46"/>
    </row>
    <row r="101" spans="4:5" x14ac:dyDescent="0.25">
      <c r="D101" s="46"/>
      <c r="E101" s="46"/>
    </row>
    <row r="102" spans="4:5" x14ac:dyDescent="0.25">
      <c r="D102" s="46"/>
      <c r="E102" s="46"/>
    </row>
    <row r="103" spans="4:5" x14ac:dyDescent="0.25">
      <c r="D103" s="46"/>
      <c r="E103" s="46"/>
    </row>
    <row r="104" spans="4:5" x14ac:dyDescent="0.25">
      <c r="D104" s="46"/>
      <c r="E104" s="46"/>
    </row>
    <row r="105" spans="4:5" x14ac:dyDescent="0.25">
      <c r="D105" s="46"/>
      <c r="E105" s="46"/>
    </row>
    <row r="106" spans="4:5" x14ac:dyDescent="0.25">
      <c r="D106" s="46"/>
      <c r="E106" s="46"/>
    </row>
    <row r="107" spans="4:5" x14ac:dyDescent="0.25">
      <c r="D107" s="46"/>
      <c r="E107" s="46"/>
    </row>
    <row r="108" spans="4:5" x14ac:dyDescent="0.25">
      <c r="D108" s="46"/>
      <c r="E108" s="46"/>
    </row>
    <row r="109" spans="4:5" x14ac:dyDescent="0.25">
      <c r="D109" s="46"/>
      <c r="E109" s="46"/>
    </row>
    <row r="110" spans="4:5" x14ac:dyDescent="0.25">
      <c r="D110" s="46"/>
      <c r="E110" s="46"/>
    </row>
    <row r="111" spans="4:5" x14ac:dyDescent="0.25">
      <c r="D111" s="46"/>
      <c r="E111" s="46"/>
    </row>
  </sheetData>
  <sheetProtection algorithmName="SHA-512" hashValue="k20muP19YZV9I9yn0JiOzybfU1pY8n/N3ecj54+GR1Wn37fpNRo3irbPAJ8Hx0qsrG6+BiSWaK3qGjtKUe5WYw==" saltValue="9dgfkHObLYqYdcwrLGC3ag==" spinCount="100000" sheet="1" objects="1" scenarios="1" formatCells="0" insertColumns="0" insertRows="0" insertHyperlinks="0" deleteColumns="0" deleteRows="0" selectLockedCells="1" sort="0" autoFilter="0" pivotTables="0"/>
  <mergeCells count="25">
    <mergeCell ref="B22:C22"/>
    <mergeCell ref="B23:C23"/>
    <mergeCell ref="B24:C24"/>
    <mergeCell ref="B25:C25"/>
    <mergeCell ref="B26:C26"/>
    <mergeCell ref="B44:C44"/>
    <mergeCell ref="B32:C32"/>
    <mergeCell ref="B31:C31"/>
    <mergeCell ref="B33:C33"/>
    <mergeCell ref="B34:C34"/>
    <mergeCell ref="B35:C35"/>
    <mergeCell ref="B40:C40"/>
    <mergeCell ref="B41:C41"/>
    <mergeCell ref="B42:C42"/>
    <mergeCell ref="B43:C43"/>
    <mergeCell ref="A8:B8"/>
    <mergeCell ref="A1:C1"/>
    <mergeCell ref="A2:C2"/>
    <mergeCell ref="A4:B4"/>
    <mergeCell ref="A15:B15"/>
    <mergeCell ref="A11:B11"/>
    <mergeCell ref="A14:B14"/>
    <mergeCell ref="A9:B9"/>
    <mergeCell ref="A10:B10"/>
    <mergeCell ref="A7:B7"/>
  </mergeCells>
  <dataValidations count="1">
    <dataValidation type="decimal" allowBlank="1" showInputMessage="1" showErrorMessage="1" sqref="D14:E15 D10:E11">
      <formula1>-10000000000</formula1>
      <formula2>10000000000</formula2>
    </dataValidation>
  </dataValidations>
  <pageMargins left="0.25" right="0.25" top="0.75" bottom="0.75" header="0.3" footer="0.3"/>
  <pageSetup scale="60" orientation="landscape" r:id="rId1"/>
  <headerFooter differentOddEven="1">
    <oddHeader>&amp;C&amp;"-,Bold"&amp;14&amp;F
&amp;D</oddHeader>
    <oddFooter>&amp;R&amp;F
&amp;D&amp;CSaudi Aramco: Confidential</oddFooter>
    <evenHeader>&amp;C&amp;"-,Bold"&amp;14&amp;F
&amp;D</evenHeader>
    <evenFooter>&amp;RPage &amp;P of &amp;N&amp;CSaudi Aramco: Confidential</evenFooter>
    <firstHeader>&amp;C&amp;"-,Bold"&amp;14&amp;F
&amp;D</firstHeader>
    <firstFooter>&amp;RPage &amp;P of &amp;N&amp;C&amp;"arial,Regular"&amp;11Saudi Aramco: Public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workbookViewId="0">
      <selection activeCell="J26" sqref="J26"/>
    </sheetView>
  </sheetViews>
  <sheetFormatPr defaultRowHeight="15" x14ac:dyDescent="0.25"/>
  <cols>
    <col min="1" max="6" width="9.140625" style="2"/>
    <col min="7" max="7" width="12.42578125" style="2" bestFit="1" customWidth="1"/>
    <col min="8" max="16384" width="9.140625" style="2"/>
  </cols>
  <sheetData>
    <row r="1" spans="1:13" ht="15.75" thickTop="1" x14ac:dyDescent="0.25">
      <c r="A1" s="300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2"/>
    </row>
    <row r="2" spans="1:13" x14ac:dyDescent="0.25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5"/>
    </row>
    <row r="3" spans="1:13" x14ac:dyDescent="0.25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5"/>
    </row>
    <row r="4" spans="1:13" x14ac:dyDescent="0.25">
      <c r="A4" s="306" t="s">
        <v>245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x14ac:dyDescent="0.25">
      <c r="A5" s="307" t="s">
        <v>246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x14ac:dyDescent="0.25">
      <c r="A6" s="307" t="s">
        <v>247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5"/>
    </row>
    <row r="7" spans="1:13" x14ac:dyDescent="0.25">
      <c r="A7" s="307" t="s">
        <v>248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5"/>
    </row>
    <row r="8" spans="1:13" x14ac:dyDescent="0.25">
      <c r="A8" s="30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5"/>
    </row>
    <row r="9" spans="1:13" x14ac:dyDescent="0.25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5"/>
    </row>
    <row r="10" spans="1:13" x14ac:dyDescent="0.25">
      <c r="A10" s="303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5"/>
    </row>
    <row r="11" spans="1:13" s="311" customFormat="1" ht="15.75" x14ac:dyDescent="0.25">
      <c r="A11" s="308"/>
      <c r="B11" s="309" t="s">
        <v>250</v>
      </c>
      <c r="C11" s="309"/>
      <c r="D11" s="309"/>
      <c r="E11" s="309"/>
      <c r="F11" s="309"/>
      <c r="G11" s="309"/>
      <c r="H11" s="309"/>
      <c r="I11" s="309"/>
      <c r="J11" s="309" t="s">
        <v>249</v>
      </c>
      <c r="K11" s="550">
        <f ca="1">TODAY()</f>
        <v>43292</v>
      </c>
      <c r="L11" s="551"/>
      <c r="M11" s="310"/>
    </row>
    <row r="12" spans="1:13" s="315" customFormat="1" ht="14.25" x14ac:dyDescent="0.2">
      <c r="A12" s="312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4"/>
    </row>
    <row r="13" spans="1:13" s="315" customFormat="1" ht="14.25" x14ac:dyDescent="0.2">
      <c r="A13" s="312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4"/>
    </row>
    <row r="14" spans="1:13" s="315" customFormat="1" ht="14.25" x14ac:dyDescent="0.2">
      <c r="A14" s="312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4"/>
    </row>
    <row r="15" spans="1:13" s="315" customFormat="1" ht="14.25" x14ac:dyDescent="0.2">
      <c r="A15" s="312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4"/>
    </row>
    <row r="16" spans="1:13" s="315" customFormat="1" ht="26.25" x14ac:dyDescent="0.4">
      <c r="A16" s="555" t="str">
        <f>+'Page 1. Company Information'!B2</f>
        <v>Name of Company</v>
      </c>
      <c r="B16" s="556"/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7"/>
    </row>
    <row r="17" spans="1:13" s="315" customFormat="1" ht="14.25" x14ac:dyDescent="0.2">
      <c r="A17" s="312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4"/>
    </row>
    <row r="18" spans="1:13" s="315" customFormat="1" ht="14.25" x14ac:dyDescent="0.2">
      <c r="A18" s="418" t="s">
        <v>251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4"/>
    </row>
    <row r="19" spans="1:13" s="315" customFormat="1" ht="14.25" x14ac:dyDescent="0.2">
      <c r="A19" s="312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4"/>
    </row>
    <row r="20" spans="1:13" s="315" customFormat="1" ht="18" x14ac:dyDescent="0.25">
      <c r="A20" s="312"/>
      <c r="B20" s="313"/>
      <c r="C20" s="313"/>
      <c r="D20" s="552" t="s">
        <v>459</v>
      </c>
      <c r="E20" s="552"/>
      <c r="F20" s="313"/>
      <c r="G20" s="552" t="s">
        <v>460</v>
      </c>
      <c r="H20" s="552"/>
      <c r="I20" s="552"/>
      <c r="J20" s="313"/>
      <c r="K20" s="313"/>
      <c r="L20" s="313"/>
      <c r="M20" s="314"/>
    </row>
    <row r="21" spans="1:13" s="315" customFormat="1" ht="14.25" customHeight="1" x14ac:dyDescent="0.55000000000000004">
      <c r="A21" s="312"/>
      <c r="B21" s="313"/>
      <c r="C21" s="313"/>
      <c r="D21" s="313"/>
      <c r="E21" s="313"/>
      <c r="F21" s="391"/>
      <c r="G21" s="391"/>
      <c r="H21" s="313"/>
      <c r="I21" s="313"/>
      <c r="J21" s="313"/>
      <c r="K21" s="313"/>
      <c r="L21" s="313"/>
      <c r="M21" s="314"/>
    </row>
    <row r="22" spans="1:13" s="315" customFormat="1" ht="14.25" customHeight="1" x14ac:dyDescent="0.55000000000000004">
      <c r="A22" s="312"/>
      <c r="B22" s="313"/>
      <c r="C22" s="313"/>
      <c r="D22" s="553">
        <f>Data!B10</f>
        <v>0</v>
      </c>
      <c r="E22" s="553"/>
      <c r="F22" s="391"/>
      <c r="G22" s="554">
        <f>Data!C10</f>
        <v>0</v>
      </c>
      <c r="H22" s="554"/>
      <c r="I22" s="554"/>
      <c r="J22" s="313"/>
      <c r="K22" s="313"/>
      <c r="L22" s="313"/>
      <c r="M22" s="314"/>
    </row>
    <row r="23" spans="1:13" s="315" customFormat="1" ht="14.25" customHeight="1" x14ac:dyDescent="0.55000000000000004">
      <c r="A23" s="312"/>
      <c r="B23" s="313"/>
      <c r="C23" s="313"/>
      <c r="D23" s="553"/>
      <c r="E23" s="553"/>
      <c r="F23" s="391"/>
      <c r="G23" s="554"/>
      <c r="H23" s="554"/>
      <c r="I23" s="554"/>
      <c r="J23" s="313"/>
      <c r="K23" s="313"/>
      <c r="L23" s="313"/>
      <c r="M23" s="314"/>
    </row>
    <row r="24" spans="1:13" s="315" customFormat="1" ht="14.25" x14ac:dyDescent="0.2">
      <c r="A24" s="312"/>
      <c r="B24" s="313"/>
      <c r="C24" s="313"/>
      <c r="D24" s="553"/>
      <c r="E24" s="553"/>
      <c r="F24" s="313"/>
      <c r="G24" s="554"/>
      <c r="H24" s="554"/>
      <c r="I24" s="554"/>
      <c r="J24" s="313"/>
      <c r="K24" s="313"/>
      <c r="L24" s="313"/>
      <c r="M24" s="314"/>
    </row>
    <row r="25" spans="1:13" s="315" customFormat="1" ht="14.25" x14ac:dyDescent="0.2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4"/>
    </row>
    <row r="26" spans="1:13" s="315" customFormat="1" ht="14.25" x14ac:dyDescent="0.2">
      <c r="A26" s="312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4"/>
    </row>
    <row r="27" spans="1:13" s="315" customFormat="1" ht="14.25" x14ac:dyDescent="0.2">
      <c r="A27" s="31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4"/>
    </row>
    <row r="28" spans="1:13" s="315" customFormat="1" ht="14.25" x14ac:dyDescent="0.2">
      <c r="A28" s="312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4"/>
    </row>
    <row r="29" spans="1:13" s="315" customFormat="1" ht="14.25" x14ac:dyDescent="0.2">
      <c r="A29" s="312"/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4"/>
    </row>
    <row r="30" spans="1:13" s="315" customFormat="1" ht="14.25" x14ac:dyDescent="0.2">
      <c r="A30" s="312"/>
      <c r="B30" s="313"/>
      <c r="C30" s="313"/>
      <c r="D30" s="313"/>
      <c r="E30" s="313"/>
      <c r="F30" s="313"/>
      <c r="G30" s="313"/>
      <c r="H30" s="317"/>
      <c r="I30" s="317"/>
      <c r="J30" s="317"/>
      <c r="K30" s="317"/>
      <c r="L30" s="317"/>
      <c r="M30" s="314"/>
    </row>
    <row r="31" spans="1:13" s="315" customFormat="1" ht="14.25" x14ac:dyDescent="0.2">
      <c r="A31" s="312"/>
      <c r="B31" s="313"/>
      <c r="C31" s="313"/>
      <c r="D31" s="313"/>
      <c r="E31" s="313"/>
      <c r="F31" s="313"/>
      <c r="G31" s="313"/>
      <c r="H31" s="313" t="s">
        <v>476</v>
      </c>
      <c r="I31" s="313"/>
      <c r="J31" s="313"/>
      <c r="K31" s="313"/>
      <c r="L31" s="313"/>
      <c r="M31" s="314"/>
    </row>
    <row r="32" spans="1:13" s="315" customFormat="1" ht="14.25" x14ac:dyDescent="0.2">
      <c r="A32" s="312"/>
      <c r="B32" s="313"/>
      <c r="C32" s="313"/>
      <c r="D32" s="313"/>
      <c r="E32" s="313"/>
      <c r="F32" s="313"/>
      <c r="G32" s="313"/>
      <c r="H32" s="316" t="s">
        <v>477</v>
      </c>
      <c r="I32" s="313"/>
      <c r="J32" s="313"/>
      <c r="K32" s="313"/>
      <c r="L32" s="313"/>
      <c r="M32" s="314"/>
    </row>
    <row r="33" spans="1:13" x14ac:dyDescent="0.25">
      <c r="A33" s="303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5"/>
    </row>
    <row r="34" spans="1:13" ht="15.75" thickBot="1" x14ac:dyDescent="0.3">
      <c r="A34" s="318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20"/>
    </row>
    <row r="35" spans="1:13" ht="15.75" thickTop="1" x14ac:dyDescent="0.25"/>
  </sheetData>
  <mergeCells count="6">
    <mergeCell ref="K11:L11"/>
    <mergeCell ref="D20:E20"/>
    <mergeCell ref="G20:I20"/>
    <mergeCell ref="D22:E24"/>
    <mergeCell ref="G22:I24"/>
    <mergeCell ref="A16:M16"/>
  </mergeCells>
  <pageMargins left="0.7" right="0.7" top="0.75" bottom="0.75" header="0.3" footer="0.3"/>
  <pageSetup orientation="landscape" r:id="rId1"/>
  <headerFooter differentOddEven="1">
    <oddFooter>&amp;CSaudi Aramco: Confidential</oddFooter>
    <evenFooter>&amp;CSaudi Aramco: Confidential</even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J24" sqref="J24"/>
    </sheetView>
  </sheetViews>
  <sheetFormatPr defaultRowHeight="15" x14ac:dyDescent="0.25"/>
  <sheetData>
    <row r="2" spans="1:1" x14ac:dyDescent="0.25">
      <c r="A2" s="2" t="s">
        <v>367</v>
      </c>
    </row>
    <row r="3" spans="1:1" s="2" customFormat="1" x14ac:dyDescent="0.25">
      <c r="A3" s="2" t="s">
        <v>368</v>
      </c>
    </row>
    <row r="4" spans="1:1" x14ac:dyDescent="0.25">
      <c r="A4" s="2" t="s">
        <v>478</v>
      </c>
    </row>
    <row r="5" spans="1:1" x14ac:dyDescent="0.25">
      <c r="A5" t="s">
        <v>461</v>
      </c>
    </row>
    <row r="6" spans="1:1" x14ac:dyDescent="0.25">
      <c r="A6" t="s">
        <v>479</v>
      </c>
    </row>
    <row r="7" spans="1:1" x14ac:dyDescent="0.25">
      <c r="A7" t="s">
        <v>462</v>
      </c>
    </row>
    <row r="8" spans="1:1" x14ac:dyDescent="0.25">
      <c r="A8" t="s">
        <v>480</v>
      </c>
    </row>
    <row r="9" spans="1:1" x14ac:dyDescent="0.25">
      <c r="A9" t="s">
        <v>482</v>
      </c>
    </row>
    <row r="10" spans="1:1" x14ac:dyDescent="0.25">
      <c r="A10" t="s">
        <v>481</v>
      </c>
    </row>
    <row r="11" spans="1:1" x14ac:dyDescent="0.25">
      <c r="A11" s="2" t="s">
        <v>483</v>
      </c>
    </row>
    <row r="12" spans="1:1" x14ac:dyDescent="0.25">
      <c r="A12" s="2" t="s">
        <v>485</v>
      </c>
    </row>
    <row r="13" spans="1:1" x14ac:dyDescent="0.25">
      <c r="A13" s="2" t="s">
        <v>484</v>
      </c>
    </row>
    <row r="14" spans="1:1" x14ac:dyDescent="0.25">
      <c r="A14" s="2" t="s">
        <v>486</v>
      </c>
    </row>
    <row r="15" spans="1:1" x14ac:dyDescent="0.25">
      <c r="A15" t="s">
        <v>487</v>
      </c>
    </row>
    <row r="16" spans="1:1" x14ac:dyDescent="0.25">
      <c r="A16" t="s">
        <v>488</v>
      </c>
    </row>
    <row r="17" spans="1:1" x14ac:dyDescent="0.25">
      <c r="A17" t="s">
        <v>489</v>
      </c>
    </row>
  </sheetData>
  <pageMargins left="0.7" right="0.7" top="0.75" bottom="0.75" header="0.3" footer="0.3"/>
  <pageSetup orientation="portrait" r:id="rId1"/>
  <headerFooter differentOddEven="1">
    <oddFooter>&amp;CSaudi Aramco: Confidential</oddFooter>
    <evenFooter>&amp;CSaudi Aramco: Confidential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8"/>
  <sheetViews>
    <sheetView workbookViewId="0">
      <selection activeCell="B20" sqref="B20"/>
    </sheetView>
  </sheetViews>
  <sheetFormatPr defaultRowHeight="15" x14ac:dyDescent="0.25"/>
  <cols>
    <col min="1" max="1" width="10.85546875" bestFit="1" customWidth="1"/>
    <col min="2" max="3" width="10.7109375" bestFit="1" customWidth="1"/>
    <col min="4" max="4" width="10.85546875" bestFit="1" customWidth="1"/>
    <col min="5" max="5" width="10.85546875" customWidth="1"/>
    <col min="6" max="6" width="12.42578125" bestFit="1" customWidth="1"/>
    <col min="7" max="7" width="10.5703125" bestFit="1" customWidth="1"/>
    <col min="8" max="8" width="12" bestFit="1" customWidth="1"/>
    <col min="9" max="10" width="11.85546875" bestFit="1" customWidth="1"/>
    <col min="11" max="11" width="12" bestFit="1" customWidth="1"/>
    <col min="12" max="12" width="12" customWidth="1"/>
    <col min="13" max="13" width="12.42578125" bestFit="1" customWidth="1"/>
    <col min="14" max="14" width="11.7109375" bestFit="1" customWidth="1"/>
    <col min="15" max="15" width="11.140625" bestFit="1" customWidth="1"/>
    <col min="16" max="16" width="9.5703125" bestFit="1" customWidth="1"/>
    <col min="17" max="17" width="9.28515625" customWidth="1"/>
    <col min="18" max="18" width="13.140625" bestFit="1" customWidth="1"/>
    <col min="19" max="19" width="14.28515625" bestFit="1" customWidth="1"/>
    <col min="20" max="20" width="10.5703125" bestFit="1" customWidth="1"/>
    <col min="21" max="21" width="10.5703125" customWidth="1"/>
    <col min="22" max="22" width="3.7109375" style="336" customWidth="1"/>
    <col min="24" max="24" width="14.85546875" bestFit="1" customWidth="1"/>
    <col min="31" max="31" width="10.28515625" bestFit="1" customWidth="1"/>
    <col min="32" max="32" width="14.85546875" bestFit="1" customWidth="1"/>
    <col min="37" max="37" width="10.28515625" bestFit="1" customWidth="1"/>
    <col min="39" max="39" width="11.140625" bestFit="1" customWidth="1"/>
    <col min="41" max="41" width="13.140625" bestFit="1" customWidth="1"/>
    <col min="42" max="42" width="14.28515625" bestFit="1" customWidth="1"/>
    <col min="43" max="43" width="10.5703125" bestFit="1" customWidth="1"/>
    <col min="44" max="45" width="12" bestFit="1" customWidth="1"/>
    <col min="46" max="46" width="8.85546875" bestFit="1" customWidth="1"/>
    <col min="47" max="47" width="8.85546875" customWidth="1"/>
    <col min="48" max="48" width="3.42578125" style="336" customWidth="1"/>
    <col min="50" max="50" width="12.42578125" bestFit="1" customWidth="1"/>
    <col min="57" max="57" width="10.28515625" bestFit="1" customWidth="1"/>
    <col min="58" max="58" width="12.42578125" bestFit="1" customWidth="1"/>
    <col min="63" max="63" width="10.28515625" bestFit="1" customWidth="1"/>
    <col min="65" max="65" width="11.140625" bestFit="1" customWidth="1"/>
    <col min="67" max="67" width="13.140625" bestFit="1" customWidth="1"/>
    <col min="68" max="68" width="14.28515625" bestFit="1" customWidth="1"/>
    <col min="69" max="69" width="10.5703125" bestFit="1" customWidth="1"/>
    <col min="70" max="71" width="12" bestFit="1" customWidth="1"/>
    <col min="72" max="72" width="8.85546875" bestFit="1" customWidth="1"/>
  </cols>
  <sheetData>
    <row r="1" spans="1:73" ht="60" x14ac:dyDescent="0.25">
      <c r="A1" s="335" t="s">
        <v>253</v>
      </c>
      <c r="B1" s="335" t="s">
        <v>254</v>
      </c>
      <c r="C1" s="335" t="s">
        <v>255</v>
      </c>
      <c r="D1" s="335" t="s">
        <v>256</v>
      </c>
      <c r="E1" s="335" t="s">
        <v>257</v>
      </c>
      <c r="F1" s="335" t="s">
        <v>258</v>
      </c>
      <c r="G1" s="335" t="s">
        <v>259</v>
      </c>
      <c r="H1" s="335" t="s">
        <v>260</v>
      </c>
      <c r="I1" s="335" t="s">
        <v>261</v>
      </c>
      <c r="J1" s="335" t="s">
        <v>262</v>
      </c>
      <c r="K1" s="335" t="s">
        <v>263</v>
      </c>
      <c r="L1" s="335" t="s">
        <v>264</v>
      </c>
      <c r="M1" s="335" t="s">
        <v>265</v>
      </c>
      <c r="N1" s="335" t="s">
        <v>266</v>
      </c>
      <c r="O1" s="335" t="s">
        <v>267</v>
      </c>
      <c r="P1" s="335" t="s">
        <v>323</v>
      </c>
      <c r="Q1" s="335" t="s">
        <v>268</v>
      </c>
      <c r="R1" s="335" t="s">
        <v>269</v>
      </c>
      <c r="S1" s="335" t="s">
        <v>270</v>
      </c>
      <c r="T1" s="335" t="s">
        <v>271</v>
      </c>
      <c r="U1" s="335" t="s">
        <v>272</v>
      </c>
      <c r="W1" s="335" t="s">
        <v>273</v>
      </c>
      <c r="X1" s="335" t="s">
        <v>274</v>
      </c>
      <c r="Y1" s="335" t="s">
        <v>275</v>
      </c>
      <c r="Z1" s="335" t="s">
        <v>276</v>
      </c>
      <c r="AA1" s="335" t="s">
        <v>277</v>
      </c>
      <c r="AB1" s="335" t="s">
        <v>278</v>
      </c>
      <c r="AC1" s="335" t="s">
        <v>279</v>
      </c>
      <c r="AD1" s="335" t="s">
        <v>280</v>
      </c>
      <c r="AE1" s="335" t="s">
        <v>281</v>
      </c>
      <c r="AF1" s="335" t="s">
        <v>282</v>
      </c>
      <c r="AG1" s="335" t="s">
        <v>283</v>
      </c>
      <c r="AH1" s="335" t="s">
        <v>284</v>
      </c>
      <c r="AI1" s="335" t="s">
        <v>285</v>
      </c>
      <c r="AJ1" s="335" t="s">
        <v>286</v>
      </c>
      <c r="AK1" s="335" t="s">
        <v>287</v>
      </c>
      <c r="AL1" s="335" t="s">
        <v>288</v>
      </c>
      <c r="AM1" s="335" t="s">
        <v>289</v>
      </c>
      <c r="AN1" s="335" t="s">
        <v>290</v>
      </c>
      <c r="AO1" s="335" t="s">
        <v>291</v>
      </c>
      <c r="AP1" s="335" t="s">
        <v>292</v>
      </c>
      <c r="AQ1" s="335" t="s">
        <v>293</v>
      </c>
      <c r="AR1" s="335" t="s">
        <v>294</v>
      </c>
      <c r="AS1" s="335" t="s">
        <v>295</v>
      </c>
      <c r="AT1" s="335" t="s">
        <v>296</v>
      </c>
      <c r="AU1" s="335" t="s">
        <v>297</v>
      </c>
      <c r="AW1" s="335" t="s">
        <v>298</v>
      </c>
      <c r="AX1" s="335" t="s">
        <v>299</v>
      </c>
      <c r="AY1" s="335" t="s">
        <v>300</v>
      </c>
      <c r="AZ1" s="335" t="s">
        <v>301</v>
      </c>
      <c r="BA1" s="335" t="s">
        <v>302</v>
      </c>
      <c r="BB1" s="335" t="s">
        <v>303</v>
      </c>
      <c r="BC1" s="335" t="s">
        <v>304</v>
      </c>
      <c r="BD1" s="335" t="s">
        <v>305</v>
      </c>
      <c r="BE1" s="335" t="s">
        <v>306</v>
      </c>
      <c r="BF1" s="335" t="s">
        <v>307</v>
      </c>
      <c r="BG1" s="335" t="s">
        <v>308</v>
      </c>
      <c r="BH1" s="335" t="s">
        <v>309</v>
      </c>
      <c r="BI1" s="335" t="s">
        <v>310</v>
      </c>
      <c r="BJ1" s="335" t="s">
        <v>311</v>
      </c>
      <c r="BK1" s="335" t="s">
        <v>312</v>
      </c>
      <c r="BL1" s="335" t="s">
        <v>313</v>
      </c>
      <c r="BM1" s="335" t="s">
        <v>314</v>
      </c>
      <c r="BN1" s="335" t="s">
        <v>315</v>
      </c>
      <c r="BO1" s="335" t="s">
        <v>316</v>
      </c>
      <c r="BP1" s="335" t="s">
        <v>317</v>
      </c>
      <c r="BQ1" s="335" t="s">
        <v>318</v>
      </c>
      <c r="BR1" s="335" t="s">
        <v>319</v>
      </c>
      <c r="BS1" s="335" t="s">
        <v>320</v>
      </c>
      <c r="BT1" s="335" t="s">
        <v>321</v>
      </c>
      <c r="BU1" s="335" t="s">
        <v>322</v>
      </c>
    </row>
    <row r="2" spans="1:73" x14ac:dyDescent="0.25">
      <c r="A2" s="8">
        <f>'Page 2. IKTVA Schedule'!H15</f>
        <v>0</v>
      </c>
      <c r="B2" s="8">
        <f>'Page 2. IKTVA Schedule'!H21</f>
        <v>0</v>
      </c>
      <c r="C2" s="8">
        <f>'Page 2. IKTVA Schedule'!H25</f>
        <v>0</v>
      </c>
      <c r="D2" s="8">
        <f>'Page 2. IKTVA Schedule'!H27</f>
        <v>0</v>
      </c>
      <c r="E2" s="8">
        <f>'Page 2. IKTVA Schedule'!H29</f>
        <v>0</v>
      </c>
      <c r="F2" s="8">
        <f>SUM(A2:E2)</f>
        <v>0</v>
      </c>
      <c r="G2" s="8">
        <f>'Page 2. IKTVA Schedule'!H13</f>
        <v>0</v>
      </c>
      <c r="H2" s="8">
        <f>'Page 2. IKTVA Schedule'!I15</f>
        <v>0</v>
      </c>
      <c r="I2" s="8">
        <f>'Page 2. IKTVA Schedule'!I21</f>
        <v>0</v>
      </c>
      <c r="J2" s="8">
        <f>'Page 2. IKTVA Schedule'!I25</f>
        <v>0</v>
      </c>
      <c r="K2" s="8">
        <f>'Page 2. IKTVA Schedule'!I27</f>
        <v>0</v>
      </c>
      <c r="L2" s="8">
        <f>'Page 2. IKTVA Schedule'!I29</f>
        <v>0</v>
      </c>
      <c r="M2" s="8">
        <f>SUM(H2:L2)</f>
        <v>0</v>
      </c>
      <c r="N2" s="8">
        <f>'Page 2. IKTVA Schedule'!I13</f>
        <v>0</v>
      </c>
      <c r="O2" s="8">
        <f>'Page 2. IKTVA Schedule'!I40</f>
        <v>0</v>
      </c>
      <c r="P2" s="8">
        <f>'Page 2. IKTVA Schedule'!I44</f>
        <v>0</v>
      </c>
      <c r="Q2" s="8">
        <f>'Page 2. IKTVA Schedule'!I12</f>
        <v>0</v>
      </c>
      <c r="R2" s="338">
        <f>'Page 2. IKTVA Schedule'!H19</f>
        <v>0</v>
      </c>
      <c r="S2" s="338">
        <f>'Page 2. IKTVA Schedule'!I19</f>
        <v>0</v>
      </c>
      <c r="T2" s="338">
        <f>'Page 2. IKTVA Schedule'!I20</f>
        <v>0</v>
      </c>
      <c r="U2">
        <f>'Page 2. IKTVA Schedule'!I24</f>
        <v>0</v>
      </c>
      <c r="W2" s="8">
        <f>'Page 2. IKTVA Schedule'!J15</f>
        <v>0</v>
      </c>
      <c r="X2" s="8">
        <f>'Page 2. IKTVA Schedule'!J16</f>
        <v>0</v>
      </c>
      <c r="Y2" s="8">
        <f>'Page 2. IKTVA Schedule'!J21</f>
        <v>0</v>
      </c>
      <c r="Z2" s="8">
        <f>'Page 2. IKTVA Schedule'!J25</f>
        <v>0</v>
      </c>
      <c r="AA2" s="8">
        <f>'Page 2. IKTVA Schedule'!J27</f>
        <v>0</v>
      </c>
      <c r="AB2" s="8">
        <f>'Page 2. IKTVA Schedule'!J29</f>
        <v>0</v>
      </c>
      <c r="AC2" s="8">
        <f>SUM(W2:AB2)</f>
        <v>0</v>
      </c>
      <c r="AD2" s="8">
        <f>'Page 2. IKTVA Schedule'!J13</f>
        <v>0</v>
      </c>
      <c r="AE2" s="8">
        <f>'Page 2. IKTVA Schedule'!K15</f>
        <v>0</v>
      </c>
      <c r="AF2" s="8">
        <f>'Page 2. IKTVA Schedule'!K16</f>
        <v>0</v>
      </c>
      <c r="AG2" s="8">
        <f>'Page 2. IKTVA Schedule'!K21</f>
        <v>0</v>
      </c>
      <c r="AH2" s="8">
        <f>'Page 2. IKTVA Schedule'!K25</f>
        <v>0</v>
      </c>
      <c r="AI2" s="8">
        <f>'Page 2. IKTVA Schedule'!K27</f>
        <v>0</v>
      </c>
      <c r="AJ2" s="8">
        <f>'Page 2. IKTVA Schedule'!K29</f>
        <v>0</v>
      </c>
      <c r="AK2" s="8">
        <f>SUM(AE2:AJ2)</f>
        <v>0</v>
      </c>
      <c r="AL2" s="8">
        <f>'Page 2. IKTVA Schedule'!K13</f>
        <v>0</v>
      </c>
      <c r="AM2" s="8">
        <f>'Page 2. IKTVA Schedule'!K40</f>
        <v>0</v>
      </c>
      <c r="AN2" s="8">
        <f>'Page 2. IKTVA Schedule'!K12</f>
        <v>0</v>
      </c>
      <c r="AO2" s="338">
        <f>'Page 2. IKTVA Schedule'!J19</f>
        <v>0</v>
      </c>
      <c r="AP2" s="338">
        <f>'Page 2. IKTVA Schedule'!K19</f>
        <v>0</v>
      </c>
      <c r="AQ2" s="338">
        <f>'Page 2. IKTVA Schedule'!K20</f>
        <v>0</v>
      </c>
      <c r="AR2" s="338">
        <f>'Page 7. Female Employment'!D10</f>
        <v>0</v>
      </c>
      <c r="AS2" s="8">
        <f>'Page 7. Female Employment'!D11</f>
        <v>0</v>
      </c>
      <c r="AT2">
        <f>'Page 2. IKTVA Schedule'!K24</f>
        <v>0</v>
      </c>
      <c r="AU2">
        <f>'Page 7. Female Employment'!D14</f>
        <v>0</v>
      </c>
      <c r="AW2" s="8">
        <f>'Page 2. IKTVA Schedule'!L15</f>
        <v>0</v>
      </c>
      <c r="AX2" s="8">
        <f>'Page 2. IKTVA Schedule'!L16</f>
        <v>0</v>
      </c>
      <c r="AY2" s="8">
        <f>'Page 2. IKTVA Schedule'!L21</f>
        <v>0</v>
      </c>
      <c r="AZ2" s="8">
        <f>'Page 2. IKTVA Schedule'!L25</f>
        <v>0</v>
      </c>
      <c r="BA2" s="8">
        <f>'Page 2. IKTVA Schedule'!L27</f>
        <v>0</v>
      </c>
      <c r="BB2" s="8">
        <f>'Page 2. IKTVA Schedule'!L29</f>
        <v>0</v>
      </c>
      <c r="BC2" s="8">
        <f>SUM(AW2:BB2)</f>
        <v>0</v>
      </c>
      <c r="BD2" s="8">
        <f>'Page 2. IKTVA Schedule'!L13</f>
        <v>0</v>
      </c>
      <c r="BE2" s="8">
        <f>'Page 2. IKTVA Schedule'!M15</f>
        <v>0</v>
      </c>
      <c r="BF2" s="8">
        <f>'Page 2. IKTVA Schedule'!M16</f>
        <v>0</v>
      </c>
      <c r="BG2" s="8">
        <f>'Page 2. IKTVA Schedule'!M21</f>
        <v>0</v>
      </c>
      <c r="BH2" s="8">
        <f>'Page 2. IKTVA Schedule'!M25</f>
        <v>0</v>
      </c>
      <c r="BI2" s="8">
        <f>'Page 2. IKTVA Schedule'!M27</f>
        <v>0</v>
      </c>
      <c r="BJ2" s="8">
        <f>'Page 2. IKTVA Schedule'!M29</f>
        <v>0</v>
      </c>
      <c r="BK2" s="8">
        <f>SUM(BE2:BJ2)</f>
        <v>0</v>
      </c>
      <c r="BL2" s="8">
        <f>'Page 2. IKTVA Schedule'!M13</f>
        <v>0</v>
      </c>
      <c r="BM2" s="8">
        <f>'Page 2. IKTVA Schedule'!M40</f>
        <v>0</v>
      </c>
      <c r="BN2" s="8">
        <f>'Page 2. IKTVA Schedule'!M12</f>
        <v>0</v>
      </c>
      <c r="BO2" s="338">
        <f>'Page 2. IKTVA Schedule'!L19</f>
        <v>0</v>
      </c>
      <c r="BP2" s="338">
        <f>'Page 2. IKTVA Schedule'!M19</f>
        <v>0</v>
      </c>
      <c r="BQ2" s="338">
        <f>'Page 2. IKTVA Schedule'!M20</f>
        <v>0</v>
      </c>
      <c r="BR2" s="338">
        <f>'Page 7. Female Employment'!E10</f>
        <v>0</v>
      </c>
      <c r="BS2" s="8">
        <f>'Page 7. Female Employment'!E11</f>
        <v>0</v>
      </c>
      <c r="BT2">
        <f>'Page 2. IKTVA Schedule'!M24</f>
        <v>0</v>
      </c>
      <c r="BU2">
        <f>'Page 7. Female Employment'!E14</f>
        <v>0</v>
      </c>
    </row>
    <row r="7" spans="1:73" x14ac:dyDescent="0.25">
      <c r="A7" s="3" t="s">
        <v>463</v>
      </c>
    </row>
    <row r="8" spans="1:73" ht="45" x14ac:dyDescent="0.25">
      <c r="A8" s="402" t="s">
        <v>464</v>
      </c>
      <c r="B8" s="402" t="s">
        <v>465</v>
      </c>
      <c r="C8" s="402" t="s">
        <v>466</v>
      </c>
      <c r="D8" s="402" t="s">
        <v>467</v>
      </c>
      <c r="E8" s="402" t="s">
        <v>468</v>
      </c>
      <c r="F8" s="402" t="s">
        <v>469</v>
      </c>
      <c r="G8" s="402" t="s">
        <v>470</v>
      </c>
      <c r="H8" s="402" t="s">
        <v>471</v>
      </c>
      <c r="I8" s="402" t="s">
        <v>472</v>
      </c>
      <c r="J8" s="402" t="s">
        <v>473</v>
      </c>
      <c r="K8" s="402" t="s">
        <v>474</v>
      </c>
    </row>
    <row r="9" spans="1:73" x14ac:dyDescent="0.25">
      <c r="A9" s="403" t="str">
        <f>'Page 1. Company Information'!$B$2</f>
        <v>Name of Company</v>
      </c>
      <c r="B9" s="403">
        <f>'Page 4. Saudi Jobs'!A8</f>
        <v>1</v>
      </c>
      <c r="C9" s="403" t="str">
        <f>'Page 4. Saudi Jobs'!B8</f>
        <v>Managers</v>
      </c>
      <c r="D9" s="404">
        <f>'Page 4. Saudi Jobs'!E8</f>
        <v>0</v>
      </c>
      <c r="E9" s="404">
        <f>'Page 4. Saudi Jobs'!F8</f>
        <v>0</v>
      </c>
      <c r="F9" s="403">
        <f>'Page 4. Saudi Jobs'!G8</f>
        <v>0</v>
      </c>
      <c r="G9" s="405" t="str">
        <f>'Page 4. Saudi Jobs'!H8</f>
        <v>NA</v>
      </c>
      <c r="H9" s="404">
        <f>'Page 4. Saudi Jobs'!I8</f>
        <v>0</v>
      </c>
      <c r="I9" s="404">
        <f>'Page 4. Saudi Jobs'!J8</f>
        <v>0</v>
      </c>
      <c r="J9" s="403">
        <f>'Page 4. Saudi Jobs'!K8</f>
        <v>0</v>
      </c>
      <c r="K9" s="405" t="str">
        <f>'Page 4. Saudi Jobs'!L8</f>
        <v>NA</v>
      </c>
    </row>
    <row r="10" spans="1:73" x14ac:dyDescent="0.25">
      <c r="A10" s="403" t="str">
        <f>'Page 1. Company Information'!$B$2</f>
        <v>Name of Company</v>
      </c>
      <c r="B10" s="403">
        <f>'Page 4. Saudi Jobs'!A9</f>
        <v>2</v>
      </c>
      <c r="C10" s="403" t="str">
        <f>'Page 4. Saudi Jobs'!B9</f>
        <v>Professionals</v>
      </c>
      <c r="D10" s="404">
        <f>'Page 4. Saudi Jobs'!E9</f>
        <v>0</v>
      </c>
      <c r="E10" s="404">
        <f>'Page 4. Saudi Jobs'!F9</f>
        <v>0</v>
      </c>
      <c r="F10" s="403">
        <f>'Page 4. Saudi Jobs'!G9</f>
        <v>0</v>
      </c>
      <c r="G10" s="405" t="str">
        <f>'Page 4. Saudi Jobs'!H9</f>
        <v>NA</v>
      </c>
      <c r="H10" s="404">
        <f>'Page 4. Saudi Jobs'!I9</f>
        <v>0</v>
      </c>
      <c r="I10" s="404">
        <f>'Page 4. Saudi Jobs'!J9</f>
        <v>0</v>
      </c>
      <c r="J10" s="403">
        <f>'Page 4. Saudi Jobs'!K9</f>
        <v>0</v>
      </c>
      <c r="K10" s="405" t="str">
        <f>'Page 4. Saudi Jobs'!L9</f>
        <v>NA</v>
      </c>
    </row>
    <row r="11" spans="1:73" x14ac:dyDescent="0.25">
      <c r="A11" s="403" t="str">
        <f>'Page 1. Company Information'!$B$2</f>
        <v>Name of Company</v>
      </c>
      <c r="B11" s="403">
        <f>'Page 4. Saudi Jobs'!A10</f>
        <v>3</v>
      </c>
      <c r="C11" s="403" t="str">
        <f>'Page 4. Saudi Jobs'!B10</f>
        <v>Technicians and associate professionals</v>
      </c>
      <c r="D11" s="404">
        <f>'Page 4. Saudi Jobs'!E10</f>
        <v>0</v>
      </c>
      <c r="E11" s="404">
        <f>'Page 4. Saudi Jobs'!F10</f>
        <v>0</v>
      </c>
      <c r="F11" s="403">
        <f>'Page 4. Saudi Jobs'!G10</f>
        <v>0</v>
      </c>
      <c r="G11" s="405" t="str">
        <f>'Page 4. Saudi Jobs'!H10</f>
        <v>NA</v>
      </c>
      <c r="H11" s="404">
        <f>'Page 4. Saudi Jobs'!I10</f>
        <v>0</v>
      </c>
      <c r="I11" s="404">
        <f>'Page 4. Saudi Jobs'!J10</f>
        <v>0</v>
      </c>
      <c r="J11" s="403">
        <f>'Page 4. Saudi Jobs'!K10</f>
        <v>0</v>
      </c>
      <c r="K11" s="405" t="str">
        <f>'Page 4. Saudi Jobs'!L10</f>
        <v>NA</v>
      </c>
    </row>
    <row r="12" spans="1:73" x14ac:dyDescent="0.25">
      <c r="A12" s="403" t="str">
        <f>'Page 1. Company Information'!$B$2</f>
        <v>Name of Company</v>
      </c>
      <c r="B12" s="403">
        <f>'Page 4. Saudi Jobs'!A11</f>
        <v>4</v>
      </c>
      <c r="C12" s="403" t="str">
        <f>'Page 4. Saudi Jobs'!B11</f>
        <v>Clerical support workers</v>
      </c>
      <c r="D12" s="404">
        <f>'Page 4. Saudi Jobs'!E11</f>
        <v>0</v>
      </c>
      <c r="E12" s="404">
        <f>'Page 4. Saudi Jobs'!F11</f>
        <v>0</v>
      </c>
      <c r="F12" s="403">
        <f>'Page 4. Saudi Jobs'!G11</f>
        <v>0</v>
      </c>
      <c r="G12" s="405" t="str">
        <f>'Page 4. Saudi Jobs'!H11</f>
        <v>NA</v>
      </c>
      <c r="H12" s="404">
        <f>'Page 4. Saudi Jobs'!I11</f>
        <v>0</v>
      </c>
      <c r="I12" s="404">
        <f>'Page 4. Saudi Jobs'!J11</f>
        <v>0</v>
      </c>
      <c r="J12" s="403">
        <f>'Page 4. Saudi Jobs'!K11</f>
        <v>0</v>
      </c>
      <c r="K12" s="405" t="str">
        <f>'Page 4. Saudi Jobs'!L11</f>
        <v>NA</v>
      </c>
    </row>
    <row r="13" spans="1:73" x14ac:dyDescent="0.25">
      <c r="A13" s="403" t="str">
        <f>'Page 1. Company Information'!$B$2</f>
        <v>Name of Company</v>
      </c>
      <c r="B13" s="403">
        <f>'Page 4. Saudi Jobs'!A12</f>
        <v>5</v>
      </c>
      <c r="C13" s="403" t="str">
        <f>'Page 4. Saudi Jobs'!B12</f>
        <v>Service and sales workers</v>
      </c>
      <c r="D13" s="404">
        <f>'Page 4. Saudi Jobs'!E12</f>
        <v>0</v>
      </c>
      <c r="E13" s="404">
        <f>'Page 4. Saudi Jobs'!F12</f>
        <v>0</v>
      </c>
      <c r="F13" s="403">
        <f>'Page 4. Saudi Jobs'!G12</f>
        <v>0</v>
      </c>
      <c r="G13" s="405" t="str">
        <f>'Page 4. Saudi Jobs'!H12</f>
        <v>NA</v>
      </c>
      <c r="H13" s="404">
        <f>'Page 4. Saudi Jobs'!I12</f>
        <v>0</v>
      </c>
      <c r="I13" s="404">
        <f>'Page 4. Saudi Jobs'!J12</f>
        <v>0</v>
      </c>
      <c r="J13" s="403">
        <f>'Page 4. Saudi Jobs'!K12</f>
        <v>0</v>
      </c>
      <c r="K13" s="405" t="str">
        <f>'Page 4. Saudi Jobs'!L12</f>
        <v>NA</v>
      </c>
    </row>
    <row r="14" spans="1:73" x14ac:dyDescent="0.25">
      <c r="A14" s="403" t="str">
        <f>'Page 1. Company Information'!$B$2</f>
        <v>Name of Company</v>
      </c>
      <c r="B14" s="403">
        <f>'Page 4. Saudi Jobs'!A13</f>
        <v>6</v>
      </c>
      <c r="C14" s="403" t="str">
        <f>'Page 4. Saudi Jobs'!B13</f>
        <v>Skilled agricultural, forestry and fishery workers</v>
      </c>
      <c r="D14" s="404">
        <f>'Page 4. Saudi Jobs'!E13</f>
        <v>0</v>
      </c>
      <c r="E14" s="404">
        <f>'Page 4. Saudi Jobs'!F13</f>
        <v>0</v>
      </c>
      <c r="F14" s="403">
        <f>'Page 4. Saudi Jobs'!G13</f>
        <v>0</v>
      </c>
      <c r="G14" s="405" t="str">
        <f>'Page 4. Saudi Jobs'!H13</f>
        <v>NA</v>
      </c>
      <c r="H14" s="404">
        <f>'Page 4. Saudi Jobs'!I13</f>
        <v>0</v>
      </c>
      <c r="I14" s="404">
        <f>'Page 4. Saudi Jobs'!J13</f>
        <v>0</v>
      </c>
      <c r="J14" s="403">
        <f>'Page 4. Saudi Jobs'!K13</f>
        <v>0</v>
      </c>
      <c r="K14" s="405" t="str">
        <f>'Page 4. Saudi Jobs'!L13</f>
        <v>NA</v>
      </c>
    </row>
    <row r="15" spans="1:73" x14ac:dyDescent="0.25">
      <c r="A15" s="403" t="str">
        <f>'Page 1. Company Information'!$B$2</f>
        <v>Name of Company</v>
      </c>
      <c r="B15" s="403">
        <f>'Page 4. Saudi Jobs'!A14</f>
        <v>7</v>
      </c>
      <c r="C15" s="403" t="str">
        <f>'Page 4. Saudi Jobs'!B14</f>
        <v>Craft and related trades workers</v>
      </c>
      <c r="D15" s="404">
        <f>'Page 4. Saudi Jobs'!E14</f>
        <v>0</v>
      </c>
      <c r="E15" s="404">
        <f>'Page 4. Saudi Jobs'!F14</f>
        <v>0</v>
      </c>
      <c r="F15" s="403">
        <f>'Page 4. Saudi Jobs'!G14</f>
        <v>0</v>
      </c>
      <c r="G15" s="405" t="str">
        <f>'Page 4. Saudi Jobs'!H14</f>
        <v>NA</v>
      </c>
      <c r="H15" s="404">
        <f>'Page 4. Saudi Jobs'!I14</f>
        <v>0</v>
      </c>
      <c r="I15" s="404">
        <f>'Page 4. Saudi Jobs'!J14</f>
        <v>0</v>
      </c>
      <c r="J15" s="403">
        <f>'Page 4. Saudi Jobs'!K14</f>
        <v>0</v>
      </c>
      <c r="K15" s="405" t="str">
        <f>'Page 4. Saudi Jobs'!L14</f>
        <v>NA</v>
      </c>
    </row>
    <row r="16" spans="1:73" x14ac:dyDescent="0.25">
      <c r="A16" s="403" t="str">
        <f>'Page 1. Company Information'!$B$2</f>
        <v>Name of Company</v>
      </c>
      <c r="B16" s="403">
        <f>'Page 4. Saudi Jobs'!A15</f>
        <v>8</v>
      </c>
      <c r="C16" s="403" t="str">
        <f>'Page 4. Saudi Jobs'!B15</f>
        <v>Plant and machine operators, and assemblers</v>
      </c>
      <c r="D16" s="404">
        <f>'Page 4. Saudi Jobs'!E15</f>
        <v>0</v>
      </c>
      <c r="E16" s="404">
        <f>'Page 4. Saudi Jobs'!F15</f>
        <v>0</v>
      </c>
      <c r="F16" s="403">
        <f>'Page 4. Saudi Jobs'!G15</f>
        <v>0</v>
      </c>
      <c r="G16" s="405" t="str">
        <f>'Page 4. Saudi Jobs'!H15</f>
        <v>NA</v>
      </c>
      <c r="H16" s="404">
        <f>'Page 4. Saudi Jobs'!I15</f>
        <v>0</v>
      </c>
      <c r="I16" s="404">
        <f>'Page 4. Saudi Jobs'!J15</f>
        <v>0</v>
      </c>
      <c r="J16" s="403">
        <f>'Page 4. Saudi Jobs'!K15</f>
        <v>0</v>
      </c>
      <c r="K16" s="405" t="str">
        <f>'Page 4. Saudi Jobs'!L15</f>
        <v>NA</v>
      </c>
    </row>
    <row r="17" spans="1:11" x14ac:dyDescent="0.25">
      <c r="A17" s="403" t="str">
        <f>'Page 1. Company Information'!$B$2</f>
        <v>Name of Company</v>
      </c>
      <c r="B17" s="403">
        <f>'Page 4. Saudi Jobs'!A16</f>
        <v>9</v>
      </c>
      <c r="C17" s="403" t="str">
        <f>'Page 4. Saudi Jobs'!B16</f>
        <v>Elementary occupations</v>
      </c>
      <c r="D17" s="404">
        <f>'Page 4. Saudi Jobs'!E16</f>
        <v>0</v>
      </c>
      <c r="E17" s="404">
        <f>'Page 4. Saudi Jobs'!F16</f>
        <v>0</v>
      </c>
      <c r="F17" s="403">
        <f>'Page 4. Saudi Jobs'!G16</f>
        <v>0</v>
      </c>
      <c r="G17" s="405" t="str">
        <f>'Page 4. Saudi Jobs'!H16</f>
        <v>NA</v>
      </c>
      <c r="H17" s="404">
        <f>'Page 4. Saudi Jobs'!I16</f>
        <v>0</v>
      </c>
      <c r="I17" s="404">
        <f>'Page 4. Saudi Jobs'!J16</f>
        <v>0</v>
      </c>
      <c r="J17" s="403">
        <f>'Page 4. Saudi Jobs'!K16</f>
        <v>0</v>
      </c>
      <c r="K17" s="405" t="str">
        <f>'Page 4. Saudi Jobs'!L16</f>
        <v>NA</v>
      </c>
    </row>
    <row r="18" spans="1:11" x14ac:dyDescent="0.25">
      <c r="A18" s="403" t="str">
        <f>'Page 1. Company Information'!$B$2</f>
        <v>Name of Company</v>
      </c>
      <c r="B18" s="403">
        <f>'Page 4. Saudi Jobs'!A17</f>
        <v>0</v>
      </c>
      <c r="C18" s="403" t="str">
        <f>'Page 4. Saudi Jobs'!B17</f>
        <v>Armed forces occupations</v>
      </c>
      <c r="D18" s="404">
        <f>'Page 4. Saudi Jobs'!E17</f>
        <v>0</v>
      </c>
      <c r="E18" s="404">
        <f>'Page 4. Saudi Jobs'!F17</f>
        <v>0</v>
      </c>
      <c r="F18" s="403">
        <f>'Page 4. Saudi Jobs'!G17</f>
        <v>0</v>
      </c>
      <c r="G18" s="405" t="str">
        <f>'Page 4. Saudi Jobs'!H17</f>
        <v>NA</v>
      </c>
      <c r="H18" s="404">
        <f>'Page 4. Saudi Jobs'!I17</f>
        <v>0</v>
      </c>
      <c r="I18" s="404">
        <f>'Page 4. Saudi Jobs'!J17</f>
        <v>0</v>
      </c>
      <c r="J18" s="403">
        <f>'Page 4. Saudi Jobs'!K17</f>
        <v>0</v>
      </c>
      <c r="K18" s="405" t="str">
        <f>'Page 4. Saudi Jobs'!L17</f>
        <v>NA</v>
      </c>
    </row>
  </sheetData>
  <pageMargins left="0.7" right="0.7" top="0.75" bottom="0.75" header="0.3" footer="0.3"/>
  <pageSetup orientation="portrait" r:id="rId1"/>
  <headerFooter differentOddEven="1">
    <oddFooter>&amp;CSaudi Aramco: Confidential</oddFooter>
    <evenFooter>&amp;CSaudi Aramco: Confidential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2"/>
  <sheetViews>
    <sheetView workbookViewId="0">
      <selection activeCell="E5" sqref="E5"/>
    </sheetView>
  </sheetViews>
  <sheetFormatPr defaultRowHeight="15" x14ac:dyDescent="0.25"/>
  <cols>
    <col min="1" max="1" width="19.7109375" style="41" customWidth="1"/>
    <col min="2" max="2" width="13.7109375" style="41" customWidth="1"/>
    <col min="3" max="3" width="14" style="202" customWidth="1"/>
    <col min="4" max="5" width="11.7109375" style="202" customWidth="1"/>
    <col min="6" max="6" width="11.7109375" style="41" customWidth="1"/>
    <col min="7" max="7" width="2.7109375" style="41" customWidth="1"/>
    <col min="8" max="9" width="13.7109375" style="41" customWidth="1"/>
    <col min="10" max="10" width="11.85546875" style="200" customWidth="1"/>
    <col min="11" max="12" width="11.85546875" style="41" customWidth="1"/>
    <col min="13" max="16384" width="9.140625" style="41"/>
  </cols>
  <sheetData>
    <row r="1" spans="1:12" ht="21" x14ac:dyDescent="0.35">
      <c r="A1" s="253" t="s">
        <v>212</v>
      </c>
      <c r="B1" s="254"/>
      <c r="C1" s="254"/>
      <c r="D1" s="254"/>
      <c r="E1" s="254"/>
      <c r="F1" s="254"/>
      <c r="G1" s="254"/>
      <c r="H1" s="253" t="s">
        <v>217</v>
      </c>
      <c r="I1" s="254"/>
      <c r="J1" s="254"/>
      <c r="K1" s="254"/>
    </row>
    <row r="2" spans="1:12" ht="30" x14ac:dyDescent="0.25">
      <c r="A2" s="259" t="s">
        <v>174</v>
      </c>
      <c r="B2" s="252" t="s">
        <v>91</v>
      </c>
      <c r="C2" s="252" t="s">
        <v>90</v>
      </c>
      <c r="D2" s="252" t="s">
        <v>44</v>
      </c>
      <c r="E2" s="252" t="s">
        <v>182</v>
      </c>
      <c r="H2" s="252" t="s">
        <v>174</v>
      </c>
      <c r="I2" s="252" t="s">
        <v>191</v>
      </c>
      <c r="J2" s="252" t="s">
        <v>83</v>
      </c>
      <c r="K2" s="252" t="s">
        <v>82</v>
      </c>
    </row>
    <row r="3" spans="1:12" x14ac:dyDescent="0.25">
      <c r="A3" s="142">
        <v>2013</v>
      </c>
      <c r="B3" s="144"/>
      <c r="C3" s="144"/>
      <c r="D3" s="144"/>
      <c r="H3" s="268">
        <v>2013</v>
      </c>
      <c r="I3" s="269"/>
      <c r="J3" s="269"/>
      <c r="K3" s="270"/>
    </row>
    <row r="4" spans="1:12" x14ac:dyDescent="0.25">
      <c r="A4" s="142">
        <v>2014</v>
      </c>
      <c r="B4" s="144"/>
      <c r="C4" s="144"/>
      <c r="D4" s="144"/>
      <c r="E4" s="144"/>
      <c r="H4" s="142">
        <v>2014</v>
      </c>
      <c r="I4" s="269"/>
      <c r="J4" s="269"/>
      <c r="K4" s="270"/>
    </row>
    <row r="5" spans="1:12" x14ac:dyDescent="0.25">
      <c r="A5" s="142">
        <v>2015</v>
      </c>
      <c r="B5" s="144">
        <f>+'Page 2. IKTVA Schedule'!$H$30</f>
        <v>0</v>
      </c>
      <c r="C5" s="144">
        <f>+'Page 2. IKTVA Schedule'!$I$30</f>
        <v>0</v>
      </c>
      <c r="D5" s="144">
        <f>+'Page 2. IKTVA Schedule'!$I36</f>
        <v>0</v>
      </c>
      <c r="E5" s="144">
        <f>IF(D10="Yes",C10,+B10)</f>
        <v>0</v>
      </c>
      <c r="H5" s="142">
        <v>2015</v>
      </c>
      <c r="I5" s="269">
        <f>'Page 2. IKTVA Schedule'!I20-'Page 2. IKTVA Schedule'!I19</f>
        <v>0</v>
      </c>
      <c r="J5" s="269">
        <f>'Page 2. IKTVA Schedule'!I$19</f>
        <v>0</v>
      </c>
      <c r="K5" s="270">
        <f>'Page 2. IKTVA Schedule'!I20</f>
        <v>0</v>
      </c>
    </row>
    <row r="6" spans="1:12" x14ac:dyDescent="0.25">
      <c r="A6" s="142">
        <v>2016</v>
      </c>
      <c r="B6" s="144">
        <f>+'Page 2. IKTVA Schedule'!$J$30</f>
        <v>0</v>
      </c>
      <c r="C6" s="144">
        <f>+'Page 2. IKTVA Schedule'!$K$30</f>
        <v>0</v>
      </c>
      <c r="D6" s="144">
        <f>+'Page 2. IKTVA Schedule'!K$36</f>
        <v>0</v>
      </c>
      <c r="E6" s="144">
        <f>+E5</f>
        <v>0</v>
      </c>
      <c r="H6" s="142">
        <v>2016</v>
      </c>
      <c r="I6" s="269">
        <f>'Page 2. IKTVA Schedule'!K$20-'Page 2. IKTVA Schedule'!K$19</f>
        <v>0</v>
      </c>
      <c r="J6" s="269">
        <f>'Page 2. IKTVA Schedule'!K$19</f>
        <v>0</v>
      </c>
      <c r="K6" s="270">
        <f>'Page 2. IKTVA Schedule'!$K$20</f>
        <v>0</v>
      </c>
    </row>
    <row r="7" spans="1:12" x14ac:dyDescent="0.25">
      <c r="A7" s="142">
        <f>+A6+1</f>
        <v>2017</v>
      </c>
      <c r="B7" s="363">
        <f>+'Page 2. IKTVA Schedule'!$L$34</f>
        <v>0</v>
      </c>
      <c r="C7" s="363">
        <f>+'Page 2. IKTVA Schedule'!$M$34</f>
        <v>0</v>
      </c>
      <c r="D7" s="144">
        <f>+'Page 2. IKTVA Schedule'!M$36</f>
        <v>0</v>
      </c>
      <c r="E7" s="144">
        <f>+E6</f>
        <v>0</v>
      </c>
      <c r="H7" s="142">
        <f>+H6+1</f>
        <v>2017</v>
      </c>
      <c r="I7" s="269">
        <f>'Page 2. IKTVA Schedule'!M$20-'Page 2. IKTVA Schedule'!M$19</f>
        <v>0</v>
      </c>
      <c r="J7" s="269">
        <f>'Page 2. IKTVA Schedule'!M$19</f>
        <v>0</v>
      </c>
      <c r="K7" s="270">
        <f>'Page 2. IKTVA Schedule'!$M$20</f>
        <v>0</v>
      </c>
    </row>
    <row r="8" spans="1:12" x14ac:dyDescent="0.25">
      <c r="C8" s="41"/>
      <c r="D8" s="41"/>
      <c r="E8" s="41"/>
      <c r="J8" s="41"/>
    </row>
    <row r="9" spans="1:12" ht="30" x14ac:dyDescent="0.25">
      <c r="A9" s="259"/>
      <c r="B9" s="252" t="s">
        <v>0</v>
      </c>
      <c r="C9" s="252" t="s">
        <v>27</v>
      </c>
      <c r="D9" s="252" t="s">
        <v>218</v>
      </c>
      <c r="E9" s="41"/>
      <c r="J9" s="41"/>
    </row>
    <row r="10" spans="1:12" x14ac:dyDescent="0.25">
      <c r="A10" s="41" t="s">
        <v>216</v>
      </c>
      <c r="B10" s="200">
        <f>IFERROR(D22,"NA")</f>
        <v>0</v>
      </c>
      <c r="C10" s="200">
        <f>IFERROR(D33,"NA")</f>
        <v>0</v>
      </c>
      <c r="D10" s="294" t="s">
        <v>179</v>
      </c>
      <c r="E10" s="41"/>
      <c r="J10" s="41"/>
    </row>
    <row r="11" spans="1:12" x14ac:dyDescent="0.25">
      <c r="B11" s="200"/>
      <c r="C11" s="200"/>
      <c r="D11" s="41"/>
      <c r="E11" s="41"/>
      <c r="J11" s="41"/>
    </row>
    <row r="12" spans="1:12" x14ac:dyDescent="0.25">
      <c r="C12" s="41"/>
      <c r="D12" s="41"/>
      <c r="E12" s="41"/>
      <c r="J12" s="41"/>
    </row>
    <row r="13" spans="1:12" x14ac:dyDescent="0.25">
      <c r="C13" s="41"/>
      <c r="D13" s="41"/>
      <c r="E13" s="41"/>
      <c r="J13" s="41"/>
    </row>
    <row r="14" spans="1:12" ht="21" x14ac:dyDescent="0.35">
      <c r="A14" s="253" t="s">
        <v>192</v>
      </c>
      <c r="B14" s="254"/>
      <c r="C14" s="254"/>
      <c r="D14" s="254"/>
      <c r="E14" s="254"/>
      <c r="F14" s="254"/>
      <c r="G14" s="254"/>
      <c r="H14" s="253"/>
      <c r="I14" s="254"/>
      <c r="J14" s="254"/>
      <c r="K14" s="254"/>
      <c r="L14" s="254"/>
    </row>
    <row r="15" spans="1:12" x14ac:dyDescent="0.25">
      <c r="A15" s="252" t="s">
        <v>213</v>
      </c>
      <c r="B15" s="252" t="s">
        <v>193</v>
      </c>
      <c r="C15" s="252">
        <f>YEAR('Page 1. Company Information'!B3)</f>
        <v>2017</v>
      </c>
      <c r="D15" s="252" t="s">
        <v>215</v>
      </c>
      <c r="E15" s="252">
        <f>+C15</f>
        <v>2017</v>
      </c>
      <c r="F15" s="252" t="s">
        <v>194</v>
      </c>
      <c r="H15" s="252">
        <f>+I15-1</f>
        <v>2016</v>
      </c>
      <c r="I15" s="252">
        <f>YEAR('Page 1. Company Information'!B3)</f>
        <v>2017</v>
      </c>
      <c r="J15" s="252">
        <f>+H15</f>
        <v>2016</v>
      </c>
      <c r="K15" s="252">
        <f>+I15</f>
        <v>2017</v>
      </c>
      <c r="L15" s="252" t="s">
        <v>194</v>
      </c>
    </row>
    <row r="16" spans="1:12" x14ac:dyDescent="0.25">
      <c r="A16" s="255" t="s">
        <v>196</v>
      </c>
      <c r="B16" s="256">
        <f>+'Page 2. IKTVA Schedule'!H$17+'Page 2. IKTVA Schedule'!J$17+'Page 2. IKTVA Schedule'!L$17</f>
        <v>0</v>
      </c>
      <c r="C16" s="256">
        <f>+'Page 2. IKTVA Schedule'!L$17</f>
        <v>0</v>
      </c>
      <c r="D16" s="257" t="str">
        <f>IFERROR(ROUND(+B16/B$54,3),"NA")</f>
        <v>NA</v>
      </c>
      <c r="E16" s="257" t="str">
        <f>IFERROR(ROUND(+C16/$B$52,3),"NA")</f>
        <v>NA</v>
      </c>
      <c r="F16" s="258" t="str">
        <f t="shared" ref="F16:F21" si="0">IFERROR(E16-D16,"NA")</f>
        <v>NA</v>
      </c>
      <c r="H16" s="256">
        <f>+'Page 2. IKTVA Schedule'!J17</f>
        <v>0</v>
      </c>
      <c r="I16" s="256">
        <f>+'Page 2. IKTVA Schedule'!$L17</f>
        <v>0</v>
      </c>
      <c r="J16" s="257" t="str">
        <f>IFERROR(ROUND(+H16/B$51,3),"NA")</f>
        <v>NA</v>
      </c>
      <c r="K16" s="257" t="str">
        <f>IFERROR(ROUND(+I16/$B$52,3),"NA")</f>
        <v>NA</v>
      </c>
      <c r="L16" s="258" t="str">
        <f t="shared" ref="L16:L21" si="1">IFERROR(K16-J16,"NA")</f>
        <v>NA</v>
      </c>
    </row>
    <row r="17" spans="1:12" x14ac:dyDescent="0.25">
      <c r="A17" s="255" t="s">
        <v>197</v>
      </c>
      <c r="B17" s="256">
        <f>+'Page 2. IKTVA Schedule'!H$21+'Page 2. IKTVA Schedule'!J$21+'Page 2. IKTVA Schedule'!L$21</f>
        <v>0</v>
      </c>
      <c r="C17" s="256">
        <f>+'Page 2. IKTVA Schedule'!L$21</f>
        <v>0</v>
      </c>
      <c r="D17" s="257" t="str">
        <f>IFERROR(ROUND(+B17/B$54,3),"NA")</f>
        <v>NA</v>
      </c>
      <c r="E17" s="257" t="str">
        <f>IFERROR(ROUND(+C17/$B$52,3),"NA")</f>
        <v>NA</v>
      </c>
      <c r="F17" s="258" t="str">
        <f t="shared" si="0"/>
        <v>NA</v>
      </c>
      <c r="H17" s="256">
        <f>+'Page 2. IKTVA Schedule'!J21</f>
        <v>0</v>
      </c>
      <c r="I17" s="256">
        <f>+'Page 2. IKTVA Schedule'!$L21</f>
        <v>0</v>
      </c>
      <c r="J17" s="257" t="str">
        <f>IFERROR(ROUND(+H17/B$51,3),"NA")</f>
        <v>NA</v>
      </c>
      <c r="K17" s="257" t="str">
        <f>IFERROR(ROUND(+I17/$B$52,3),"NA")</f>
        <v>NA</v>
      </c>
      <c r="L17" s="258" t="str">
        <f t="shared" si="1"/>
        <v>NA</v>
      </c>
    </row>
    <row r="18" spans="1:12" x14ac:dyDescent="0.25">
      <c r="A18" s="255" t="s">
        <v>198</v>
      </c>
      <c r="B18" s="256">
        <f>+'Page 2. IKTVA Schedule'!H$25+'Page 2. IKTVA Schedule'!J$25+'Page 2. IKTVA Schedule'!L$25</f>
        <v>0</v>
      </c>
      <c r="C18" s="256">
        <f>+'Page 2. IKTVA Schedule'!L$25</f>
        <v>0</v>
      </c>
      <c r="D18" s="257" t="str">
        <f>IFERROR(ROUND(+B18/B$54,3),"NA")</f>
        <v>NA</v>
      </c>
      <c r="E18" s="257" t="str">
        <f>IFERROR(ROUND(+C18/$B$52,3),"NA")</f>
        <v>NA</v>
      </c>
      <c r="F18" s="258" t="str">
        <f t="shared" si="0"/>
        <v>NA</v>
      </c>
      <c r="H18" s="256">
        <f>+'Page 2. IKTVA Schedule'!J25</f>
        <v>0</v>
      </c>
      <c r="I18" s="256">
        <f>+'Page 2. IKTVA Schedule'!$L25</f>
        <v>0</v>
      </c>
      <c r="J18" s="257" t="str">
        <f>IFERROR(ROUND(+H18/B$51,3),"NA")</f>
        <v>NA</v>
      </c>
      <c r="K18" s="257" t="str">
        <f>IFERROR(ROUND(+I18/$B$52,3),"NA")</f>
        <v>NA</v>
      </c>
      <c r="L18" s="258" t="str">
        <f t="shared" si="1"/>
        <v>NA</v>
      </c>
    </row>
    <row r="19" spans="1:12" x14ac:dyDescent="0.25">
      <c r="A19" s="255" t="s">
        <v>199</v>
      </c>
      <c r="B19" s="256">
        <f>+'Page 2. IKTVA Schedule'!H$27+'Page 2. IKTVA Schedule'!J$27+'Page 2. IKTVA Schedule'!L$27</f>
        <v>0</v>
      </c>
      <c r="C19" s="256">
        <f>+'Page 2. IKTVA Schedule'!L$27</f>
        <v>0</v>
      </c>
      <c r="D19" s="257" t="str">
        <f>IFERROR(ROUND(+B19/B$54,3),"NA")</f>
        <v>NA</v>
      </c>
      <c r="E19" s="257" t="str">
        <f>IFERROR(ROUND(+C19/$B$52,3),"NA")</f>
        <v>NA</v>
      </c>
      <c r="F19" s="258" t="str">
        <f t="shared" si="0"/>
        <v>NA</v>
      </c>
      <c r="H19" s="256">
        <f>+'Page 2. IKTVA Schedule'!J27</f>
        <v>0</v>
      </c>
      <c r="I19" s="256">
        <f>+'Page 2. IKTVA Schedule'!$L27</f>
        <v>0</v>
      </c>
      <c r="J19" s="257" t="str">
        <f>IFERROR(ROUND(+H19/B$51,3),"NA")</f>
        <v>NA</v>
      </c>
      <c r="K19" s="257" t="str">
        <f>IFERROR(ROUND(+I19/$B$52,3),"NA")</f>
        <v>NA</v>
      </c>
      <c r="L19" s="258" t="str">
        <f t="shared" si="1"/>
        <v>NA</v>
      </c>
    </row>
    <row r="20" spans="1:12" x14ac:dyDescent="0.25">
      <c r="A20" s="255" t="s">
        <v>200</v>
      </c>
      <c r="B20" s="256">
        <f>+'Page 2. IKTVA Schedule'!H$29+'Page 2. IKTVA Schedule'!J$29+'Page 2. IKTVA Schedule'!L$29</f>
        <v>0</v>
      </c>
      <c r="C20" s="256">
        <f>+'Page 2. IKTVA Schedule'!L$29</f>
        <v>0</v>
      </c>
      <c r="D20" s="257" t="str">
        <f>IFERROR(ROUND(+B20/B$54,3),"NA")</f>
        <v>NA</v>
      </c>
      <c r="E20" s="257" t="str">
        <f>IFERROR(ROUND(+C20/$B$52,3),"NA")</f>
        <v>NA</v>
      </c>
      <c r="F20" s="258" t="str">
        <f t="shared" si="0"/>
        <v>NA</v>
      </c>
      <c r="H20" s="256">
        <f>+'Page 2. IKTVA Schedule'!J29</f>
        <v>0</v>
      </c>
      <c r="I20" s="256">
        <f>+'Page 2. IKTVA Schedule'!$L29</f>
        <v>0</v>
      </c>
      <c r="J20" s="257" t="str">
        <f>IFERROR(ROUND(+H20/B$51,3),"NA")</f>
        <v>NA</v>
      </c>
      <c r="K20" s="257" t="str">
        <f>IFERROR(ROUND(+I20/$B$52,3),"NA")</f>
        <v>NA</v>
      </c>
      <c r="L20" s="258" t="str">
        <f t="shared" si="1"/>
        <v>NA</v>
      </c>
    </row>
    <row r="21" spans="1:12" x14ac:dyDescent="0.25">
      <c r="A21" s="360" t="s">
        <v>355</v>
      </c>
      <c r="B21" s="361" t="str">
        <f>IFERROR(+D21*SUM(B50,B51,B52),"NA")</f>
        <v>NA</v>
      </c>
      <c r="C21" s="256">
        <f>B52*E21</f>
        <v>0</v>
      </c>
      <c r="D21" s="257" t="str">
        <f>IFERROR((SUM(('Page 2. IKTVA Schedule'!H30*'Page 2. IKTVA Schedule'!H10),('Page 2. IKTVA Schedule'!J30*'Page 2. IKTVA Schedule'!J10),('Page 2. IKTVA Schedule'!L34*'Page 2. IKTVA Schedule'!L10))/SUM('Page 2. IKTVA Schedule'!H13,'Page 2. IKTVA Schedule'!J13,'Page 2. IKTVA Schedule'!L13))-(SUM(('Page 2. IKTVA Schedule'!H30*'Page 2. IKTVA Schedule'!H10),('Page 2. IKTVA Schedule'!J30*'Page 2. IKTVA Schedule'!J10),('Page 2. IKTVA Schedule'!L30*'Page 2. IKTVA Schedule'!L10))/SUM('Page 2. IKTVA Schedule'!H13,'Page 2. IKTVA Schedule'!J13,'Page 2. IKTVA Schedule'!L13)),"NA")</f>
        <v>NA</v>
      </c>
      <c r="E21" s="257">
        <f>'Page 2. IKTVA Schedule'!L32</f>
        <v>0</v>
      </c>
      <c r="F21" s="258" t="str">
        <f t="shared" si="0"/>
        <v>NA</v>
      </c>
      <c r="G21" s="260"/>
      <c r="H21" s="256"/>
      <c r="I21" s="256">
        <f>K21*B52</f>
        <v>0</v>
      </c>
      <c r="J21" s="257"/>
      <c r="K21" s="257">
        <f>'Page 2. IKTVA Schedule'!L32</f>
        <v>0</v>
      </c>
      <c r="L21" s="258">
        <f t="shared" si="1"/>
        <v>0</v>
      </c>
    </row>
    <row r="22" spans="1:12" x14ac:dyDescent="0.25">
      <c r="A22" s="260"/>
      <c r="B22" s="261">
        <f>SUM(B16:B21)</f>
        <v>0</v>
      </c>
      <c r="C22" s="261">
        <f>SUM(C16:C21)</f>
        <v>0</v>
      </c>
      <c r="D22" s="362">
        <f>SUM(D16:D21)</f>
        <v>0</v>
      </c>
      <c r="E22" s="362">
        <f>SUM(E16:E21)</f>
        <v>0</v>
      </c>
      <c r="F22" s="362">
        <f>SUM(F16:F21)</f>
        <v>0</v>
      </c>
      <c r="G22" s="260"/>
      <c r="H22" s="261">
        <f>SUM(H16:H21)</f>
        <v>0</v>
      </c>
      <c r="I22" s="261">
        <f>SUM(I16:I21)</f>
        <v>0</v>
      </c>
      <c r="J22" s="362">
        <f>SUM(J16:J21)</f>
        <v>0</v>
      </c>
      <c r="K22" s="362">
        <f>SUM(K16:K21)</f>
        <v>0</v>
      </c>
      <c r="L22" s="362">
        <f>SUM(L16:L21)</f>
        <v>0</v>
      </c>
    </row>
    <row r="23" spans="1:12" x14ac:dyDescent="0.25">
      <c r="C23" s="41"/>
      <c r="D23" s="41"/>
      <c r="E23" s="41"/>
      <c r="J23" s="41"/>
    </row>
    <row r="24" spans="1:12" x14ac:dyDescent="0.25">
      <c r="C24" s="41"/>
      <c r="D24" s="41"/>
      <c r="E24" s="41"/>
      <c r="J24" s="41"/>
    </row>
    <row r="25" spans="1:12" ht="21" x14ac:dyDescent="0.35">
      <c r="A25" s="253" t="s">
        <v>229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</row>
    <row r="26" spans="1:12" x14ac:dyDescent="0.25">
      <c r="A26" s="252" t="s">
        <v>213</v>
      </c>
      <c r="B26" s="252" t="s">
        <v>193</v>
      </c>
      <c r="C26" s="252">
        <f>+C15</f>
        <v>2017</v>
      </c>
      <c r="D26" s="252" t="s">
        <v>215</v>
      </c>
      <c r="E26" s="252">
        <f>+E15</f>
        <v>2017</v>
      </c>
      <c r="F26" s="252" t="s">
        <v>194</v>
      </c>
      <c r="H26" s="252">
        <f>+H15</f>
        <v>2016</v>
      </c>
      <c r="I26" s="252">
        <f>+I15</f>
        <v>2017</v>
      </c>
      <c r="J26" s="252">
        <f>+H26</f>
        <v>2016</v>
      </c>
      <c r="K26" s="252">
        <f>+I26</f>
        <v>2017</v>
      </c>
      <c r="L26" s="252" t="s">
        <v>194</v>
      </c>
    </row>
    <row r="27" spans="1:12" x14ac:dyDescent="0.25">
      <c r="A27" s="255" t="s">
        <v>196</v>
      </c>
      <c r="B27" s="256">
        <f>+'Page 2. IKTVA Schedule'!I$17+'Page 2. IKTVA Schedule'!K$17+'Page 2. IKTVA Schedule'!M$17</f>
        <v>0</v>
      </c>
      <c r="C27" s="256">
        <f>+'Page 2. IKTVA Schedule'!M$17</f>
        <v>0</v>
      </c>
      <c r="D27" s="257" t="str">
        <f>IFERROR(ROUND(+B27/C$54,3),"NA")</f>
        <v>NA</v>
      </c>
      <c r="E27" s="257" t="str">
        <f>IFERROR(ROUND(+C27/$C$52,3),"NA")</f>
        <v>NA</v>
      </c>
      <c r="F27" s="258" t="str">
        <f t="shared" ref="F27:F32" si="2">IFERROR(E27-D27,"NA")</f>
        <v>NA</v>
      </c>
      <c r="G27" s="260"/>
      <c r="H27" s="256">
        <f>+'Page 2. IKTVA Schedule'!K$17</f>
        <v>0</v>
      </c>
      <c r="I27" s="256">
        <f>+'Page 2. IKTVA Schedule'!$M17</f>
        <v>0</v>
      </c>
      <c r="J27" s="257" t="str">
        <f>IFERROR(ROUND(+H27/C$51,3),"NA")</f>
        <v>NA</v>
      </c>
      <c r="K27" s="257" t="str">
        <f>IFERROR(ROUND(+I27/$C$52,3),"NA")</f>
        <v>NA</v>
      </c>
      <c r="L27" s="258" t="str">
        <f t="shared" ref="L27:L32" si="3">IFERROR(K27-J27,"NA")</f>
        <v>NA</v>
      </c>
    </row>
    <row r="28" spans="1:12" x14ac:dyDescent="0.25">
      <c r="A28" s="255" t="s">
        <v>197</v>
      </c>
      <c r="B28" s="256">
        <f>+'Page 2. IKTVA Schedule'!I$21+'Page 2. IKTVA Schedule'!K$21+'Page 2. IKTVA Schedule'!M$21</f>
        <v>0</v>
      </c>
      <c r="C28" s="256">
        <f>+'Page 2. IKTVA Schedule'!M$21</f>
        <v>0</v>
      </c>
      <c r="D28" s="257" t="str">
        <f>IFERROR(ROUND(+B28/C$54,3),"NA")</f>
        <v>NA</v>
      </c>
      <c r="E28" s="257" t="str">
        <f>IFERROR(ROUND(+C28/$C$52,3),"NA")</f>
        <v>NA</v>
      </c>
      <c r="F28" s="258" t="str">
        <f t="shared" si="2"/>
        <v>NA</v>
      </c>
      <c r="G28" s="260"/>
      <c r="H28" s="256">
        <f>+'Page 2. IKTVA Schedule'!K$21</f>
        <v>0</v>
      </c>
      <c r="I28" s="256">
        <f>+'Page 2. IKTVA Schedule'!$M21</f>
        <v>0</v>
      </c>
      <c r="J28" s="257" t="str">
        <f>IFERROR(ROUND(+H28/C$51,3),"NA")</f>
        <v>NA</v>
      </c>
      <c r="K28" s="257" t="str">
        <f>IFERROR(ROUND(+I28/$C$52,3),"NA")</f>
        <v>NA</v>
      </c>
      <c r="L28" s="258" t="str">
        <f t="shared" si="3"/>
        <v>NA</v>
      </c>
    </row>
    <row r="29" spans="1:12" x14ac:dyDescent="0.25">
      <c r="A29" s="255" t="s">
        <v>198</v>
      </c>
      <c r="B29" s="256">
        <f>+'Page 2. IKTVA Schedule'!I$25+'Page 2. IKTVA Schedule'!K$25+'Page 2. IKTVA Schedule'!M$25</f>
        <v>0</v>
      </c>
      <c r="C29" s="256">
        <f>+'Page 2. IKTVA Schedule'!M$25</f>
        <v>0</v>
      </c>
      <c r="D29" s="257" t="str">
        <f>IFERROR(ROUND(+B29/C$54,3),"NA")</f>
        <v>NA</v>
      </c>
      <c r="E29" s="257" t="str">
        <f>IFERROR(ROUND(+C29/$C$52,3),"NA")</f>
        <v>NA</v>
      </c>
      <c r="F29" s="258" t="str">
        <f t="shared" si="2"/>
        <v>NA</v>
      </c>
      <c r="G29" s="260"/>
      <c r="H29" s="256">
        <f>+'Page 2. IKTVA Schedule'!K$25</f>
        <v>0</v>
      </c>
      <c r="I29" s="256">
        <f>+'Page 2. IKTVA Schedule'!$M25</f>
        <v>0</v>
      </c>
      <c r="J29" s="257" t="str">
        <f>IFERROR(ROUND(+H29/C$51,3),"NA")</f>
        <v>NA</v>
      </c>
      <c r="K29" s="257" t="str">
        <f>IFERROR(ROUND(+I29/$C$52,3),"NA")</f>
        <v>NA</v>
      </c>
      <c r="L29" s="258" t="str">
        <f t="shared" si="3"/>
        <v>NA</v>
      </c>
    </row>
    <row r="30" spans="1:12" x14ac:dyDescent="0.25">
      <c r="A30" s="255" t="s">
        <v>199</v>
      </c>
      <c r="B30" s="256">
        <f>+'Page 2. IKTVA Schedule'!I$27+'Page 2. IKTVA Schedule'!K$27+'Page 2. IKTVA Schedule'!M$27</f>
        <v>0</v>
      </c>
      <c r="C30" s="256">
        <f>+'Page 2. IKTVA Schedule'!M$27</f>
        <v>0</v>
      </c>
      <c r="D30" s="257" t="str">
        <f>IFERROR(ROUND(+B30/C$54,3),"NA")</f>
        <v>NA</v>
      </c>
      <c r="E30" s="257" t="str">
        <f>IFERROR(ROUND(+C30/$C$52,3),"NA")</f>
        <v>NA</v>
      </c>
      <c r="F30" s="258" t="str">
        <f t="shared" si="2"/>
        <v>NA</v>
      </c>
      <c r="G30" s="260"/>
      <c r="H30" s="256">
        <f>+'Page 2. IKTVA Schedule'!K$27</f>
        <v>0</v>
      </c>
      <c r="I30" s="256">
        <f>+'Page 2. IKTVA Schedule'!$M27</f>
        <v>0</v>
      </c>
      <c r="J30" s="257" t="str">
        <f>IFERROR(ROUND(+H30/C$51,3),"NA")</f>
        <v>NA</v>
      </c>
      <c r="K30" s="257" t="str">
        <f>IFERROR(ROUND(+I30/$C$52,3),"NA")</f>
        <v>NA</v>
      </c>
      <c r="L30" s="258" t="str">
        <f t="shared" si="3"/>
        <v>NA</v>
      </c>
    </row>
    <row r="31" spans="1:12" x14ac:dyDescent="0.25">
      <c r="A31" s="255" t="s">
        <v>200</v>
      </c>
      <c r="B31" s="256">
        <f>+'Page 2. IKTVA Schedule'!I$29+'Page 2. IKTVA Schedule'!K$29+'Page 2. IKTVA Schedule'!M$29</f>
        <v>0</v>
      </c>
      <c r="C31" s="256">
        <f>+'Page 2. IKTVA Schedule'!M$29</f>
        <v>0</v>
      </c>
      <c r="D31" s="257" t="str">
        <f>IFERROR(ROUND(+B31/C$54,3),"NA")</f>
        <v>NA</v>
      </c>
      <c r="E31" s="257" t="str">
        <f>IFERROR(ROUND(+C31/$C$52,3),"NA")</f>
        <v>NA</v>
      </c>
      <c r="F31" s="258" t="str">
        <f t="shared" si="2"/>
        <v>NA</v>
      </c>
      <c r="G31" s="260"/>
      <c r="H31" s="256">
        <f>+'Page 2. IKTVA Schedule'!K$29</f>
        <v>0</v>
      </c>
      <c r="I31" s="256">
        <f>+'Page 2. IKTVA Schedule'!$M29</f>
        <v>0</v>
      </c>
      <c r="J31" s="257" t="str">
        <f>IFERROR(ROUND(+H31/C$51,3),"NA")</f>
        <v>NA</v>
      </c>
      <c r="K31" s="257" t="str">
        <f>IFERROR(ROUND(+I31/$C$52,3),"NA")</f>
        <v>NA</v>
      </c>
      <c r="L31" s="258" t="str">
        <f t="shared" si="3"/>
        <v>NA</v>
      </c>
    </row>
    <row r="32" spans="1:12" x14ac:dyDescent="0.25">
      <c r="A32" s="360" t="s">
        <v>355</v>
      </c>
      <c r="B32" s="361" t="str">
        <f>IFERROR(+D32*SUM(C50,C51,C52),"NA")</f>
        <v>NA</v>
      </c>
      <c r="C32" s="256">
        <f>E32*C52</f>
        <v>0</v>
      </c>
      <c r="D32" s="257" t="str">
        <f>IFERROR((SUM(('Page 2. IKTVA Schedule'!I30*'Page 2. IKTVA Schedule'!I13),('Page 2. IKTVA Schedule'!K30*'Page 2. IKTVA Schedule'!K13),('Page 2. IKTVA Schedule'!M34*'Page 2. IKTVA Schedule'!M13))/SUM('Page 2. IKTVA Schedule'!I13,'Page 2. IKTVA Schedule'!K13,'Page 2. IKTVA Schedule'!M13))-(SUM(('Page 2. IKTVA Schedule'!I30*'Page 2. IKTVA Schedule'!I13),('Page 2. IKTVA Schedule'!K30*'Page 2. IKTVA Schedule'!K13),('Page 2. IKTVA Schedule'!M30*'Page 2. IKTVA Schedule'!M13))/SUM('Page 2. IKTVA Schedule'!I13,'Page 2. IKTVA Schedule'!K13,'Page 2. IKTVA Schedule'!M13)),"NA")</f>
        <v>NA</v>
      </c>
      <c r="E32" s="257">
        <f>'Page 2. IKTVA Schedule'!M32</f>
        <v>0</v>
      </c>
      <c r="F32" s="258" t="str">
        <f t="shared" si="2"/>
        <v>NA</v>
      </c>
      <c r="G32" s="260"/>
      <c r="H32" s="256"/>
      <c r="I32" s="256">
        <f>K32*C52</f>
        <v>0</v>
      </c>
      <c r="J32" s="257"/>
      <c r="K32" s="257">
        <f>'Page 2. IKTVA Schedule'!M32</f>
        <v>0</v>
      </c>
      <c r="L32" s="258">
        <f t="shared" si="3"/>
        <v>0</v>
      </c>
    </row>
    <row r="33" spans="1:12" x14ac:dyDescent="0.25">
      <c r="A33" s="260"/>
      <c r="B33" s="261">
        <f>SUM(B27:B32)</f>
        <v>0</v>
      </c>
      <c r="C33" s="261">
        <f>SUM(C27:C32)</f>
        <v>0</v>
      </c>
      <c r="D33" s="362">
        <f>SUM(D27:D32)</f>
        <v>0</v>
      </c>
      <c r="E33" s="362">
        <f>SUM(E27:E32)</f>
        <v>0</v>
      </c>
      <c r="F33" s="362">
        <f>SUM(F27:F32)</f>
        <v>0</v>
      </c>
      <c r="G33" s="260"/>
      <c r="H33" s="261">
        <f>SUM(H27:H32)</f>
        <v>0</v>
      </c>
      <c r="I33" s="261">
        <f>SUM(I27:I32)</f>
        <v>0</v>
      </c>
      <c r="J33" s="362">
        <f>SUM(J27:J32)</f>
        <v>0</v>
      </c>
      <c r="K33" s="362">
        <f>SUM(K27:K32)</f>
        <v>0</v>
      </c>
      <c r="L33" s="362">
        <f>SUM(L27:L32)</f>
        <v>0</v>
      </c>
    </row>
    <row r="34" spans="1:12" x14ac:dyDescent="0.25">
      <c r="B34" s="78"/>
      <c r="C34" s="78"/>
      <c r="D34" s="215"/>
      <c r="E34" s="215"/>
      <c r="F34" s="215"/>
      <c r="H34" s="78"/>
      <c r="I34" s="78"/>
      <c r="J34" s="215"/>
      <c r="K34" s="215"/>
      <c r="L34" s="215"/>
    </row>
    <row r="35" spans="1:12" x14ac:dyDescent="0.25">
      <c r="B35" s="78"/>
      <c r="C35" s="78"/>
      <c r="D35" s="215"/>
      <c r="E35" s="215"/>
      <c r="F35" s="215"/>
      <c r="H35" s="78"/>
      <c r="I35" s="78"/>
      <c r="J35" s="215"/>
      <c r="K35" s="215"/>
      <c r="L35" s="215"/>
    </row>
    <row r="36" spans="1:12" ht="21" x14ac:dyDescent="0.35">
      <c r="A36" s="253" t="s">
        <v>227</v>
      </c>
      <c r="B36" s="254"/>
      <c r="C36" s="254"/>
      <c r="D36" s="253" t="str">
        <f>IF(D10="No", "(Saudi Aramco)","(Total KSA)")</f>
        <v>(Saudi Aramco)</v>
      </c>
      <c r="E36" s="254"/>
      <c r="F36" s="254"/>
      <c r="G36" s="254"/>
      <c r="H36" s="253"/>
      <c r="I36" s="254"/>
      <c r="J36" s="254"/>
      <c r="K36" s="254"/>
      <c r="L36" s="254"/>
    </row>
    <row r="37" spans="1:12" x14ac:dyDescent="0.25">
      <c r="A37" s="252" t="s">
        <v>213</v>
      </c>
      <c r="B37" s="252" t="s">
        <v>193</v>
      </c>
      <c r="C37" s="252">
        <f>+C26</f>
        <v>2017</v>
      </c>
      <c r="D37" s="252" t="s">
        <v>215</v>
      </c>
      <c r="E37" s="252">
        <f>+C37</f>
        <v>2017</v>
      </c>
      <c r="F37" s="252" t="s">
        <v>194</v>
      </c>
      <c r="H37" s="252">
        <f>+H15</f>
        <v>2016</v>
      </c>
      <c r="I37" s="252">
        <f>+I15</f>
        <v>2017</v>
      </c>
      <c r="J37" s="252">
        <f>+H37</f>
        <v>2016</v>
      </c>
      <c r="K37" s="252">
        <f>+I37</f>
        <v>2017</v>
      </c>
      <c r="L37" s="252" t="s">
        <v>194</v>
      </c>
    </row>
    <row r="38" spans="1:12" x14ac:dyDescent="0.25">
      <c r="A38" s="360" t="s">
        <v>196</v>
      </c>
      <c r="B38" s="256">
        <f t="shared" ref="B38:C42" si="4">IF($D$10="No",B16,B27)</f>
        <v>0</v>
      </c>
      <c r="C38" s="256">
        <f t="shared" si="4"/>
        <v>0</v>
      </c>
      <c r="D38" s="257" t="str">
        <f>IFERROR(ROUND(+B38/IF($D$10="No",B54,C54),3),"NA")</f>
        <v>NA</v>
      </c>
      <c r="E38" s="257" t="str">
        <f>IFERROR(ROUND(+C38/IF($D$10="No",B52,C52),3),"NA")</f>
        <v>NA</v>
      </c>
      <c r="F38" s="258" t="str">
        <f t="shared" ref="F38:F43" si="5">IFERROR(E38-D38,"NA")</f>
        <v>NA</v>
      </c>
      <c r="G38" s="260"/>
      <c r="H38" s="256">
        <f t="shared" ref="H38:I42" si="6">IF($D$10="No",H16,H27)</f>
        <v>0</v>
      </c>
      <c r="I38" s="256">
        <f t="shared" si="6"/>
        <v>0</v>
      </c>
      <c r="J38" s="257" t="str">
        <f>IFERROR(ROUND(+H38/IF($D$10="No",B51,C51),3),"NA")</f>
        <v>NA</v>
      </c>
      <c r="K38" s="257" t="str">
        <f>IFERROR(ROUND(+I38/IF($D$10="No",B52,C52),3),"NA")</f>
        <v>NA</v>
      </c>
      <c r="L38" s="258" t="str">
        <f t="shared" ref="L38:L43" si="7">IFERROR(K38-J38,"NA")</f>
        <v>NA</v>
      </c>
    </row>
    <row r="39" spans="1:12" x14ac:dyDescent="0.25">
      <c r="A39" s="360" t="s">
        <v>197</v>
      </c>
      <c r="B39" s="256">
        <f t="shared" si="4"/>
        <v>0</v>
      </c>
      <c r="C39" s="256">
        <f t="shared" si="4"/>
        <v>0</v>
      </c>
      <c r="D39" s="257" t="str">
        <f>IFERROR(ROUND(+B39/IF($D$10="No",B54,C54),3),"NA")</f>
        <v>NA</v>
      </c>
      <c r="E39" s="257" t="str">
        <f>IFERROR(ROUND(+C39/IF($D$10="No",B52,C52),3),"NA")</f>
        <v>NA</v>
      </c>
      <c r="F39" s="258" t="str">
        <f t="shared" si="5"/>
        <v>NA</v>
      </c>
      <c r="G39" s="260"/>
      <c r="H39" s="256">
        <f t="shared" si="6"/>
        <v>0</v>
      </c>
      <c r="I39" s="256">
        <f t="shared" si="6"/>
        <v>0</v>
      </c>
      <c r="J39" s="257" t="str">
        <f>IFERROR(ROUND(+H39/IF($D$10="No",B51,C51),3),"NA")</f>
        <v>NA</v>
      </c>
      <c r="K39" s="257" t="str">
        <f>IFERROR(ROUND(+I39/IF($D$10="No",B52,C52),3),"NA")</f>
        <v>NA</v>
      </c>
      <c r="L39" s="258" t="str">
        <f t="shared" si="7"/>
        <v>NA</v>
      </c>
    </row>
    <row r="40" spans="1:12" x14ac:dyDescent="0.25">
      <c r="A40" s="360" t="s">
        <v>198</v>
      </c>
      <c r="B40" s="256">
        <f t="shared" si="4"/>
        <v>0</v>
      </c>
      <c r="C40" s="256">
        <f t="shared" si="4"/>
        <v>0</v>
      </c>
      <c r="D40" s="257" t="str">
        <f>IFERROR(ROUND(+B40/IF($D$10="No",B54,C54),3),"NA")</f>
        <v>NA</v>
      </c>
      <c r="E40" s="257" t="str">
        <f>IFERROR(ROUND(+C40/IF($D$10="No",B52,C52),3),"NA")</f>
        <v>NA</v>
      </c>
      <c r="F40" s="258" t="str">
        <f t="shared" si="5"/>
        <v>NA</v>
      </c>
      <c r="G40" s="260"/>
      <c r="H40" s="256">
        <f t="shared" si="6"/>
        <v>0</v>
      </c>
      <c r="I40" s="256">
        <f t="shared" si="6"/>
        <v>0</v>
      </c>
      <c r="J40" s="257" t="str">
        <f>IFERROR(ROUND(+H40/IF($D$10="No",B51,C51),3),"NA")</f>
        <v>NA</v>
      </c>
      <c r="K40" s="257" t="str">
        <f>IFERROR(ROUND(+I40/IF($D$10="No",B52,C52),3),"NA")</f>
        <v>NA</v>
      </c>
      <c r="L40" s="258" t="str">
        <f t="shared" si="7"/>
        <v>NA</v>
      </c>
    </row>
    <row r="41" spans="1:12" x14ac:dyDescent="0.25">
      <c r="A41" s="360" t="s">
        <v>199</v>
      </c>
      <c r="B41" s="256">
        <f t="shared" si="4"/>
        <v>0</v>
      </c>
      <c r="C41" s="256">
        <f t="shared" si="4"/>
        <v>0</v>
      </c>
      <c r="D41" s="257" t="str">
        <f>IFERROR(ROUND(+B41/IF($D$10="No",B54,C54),3),"NA")</f>
        <v>NA</v>
      </c>
      <c r="E41" s="257" t="str">
        <f>IFERROR(ROUND(+C41/IF($D$10="No",B52,C52),3),"NA")</f>
        <v>NA</v>
      </c>
      <c r="F41" s="258" t="str">
        <f t="shared" si="5"/>
        <v>NA</v>
      </c>
      <c r="G41" s="260"/>
      <c r="H41" s="256">
        <f t="shared" si="6"/>
        <v>0</v>
      </c>
      <c r="I41" s="256">
        <f t="shared" si="6"/>
        <v>0</v>
      </c>
      <c r="J41" s="257" t="str">
        <f>IFERROR(ROUND(+H41/IF($D$10="No",B51,C51),3),"NA")</f>
        <v>NA</v>
      </c>
      <c r="K41" s="257" t="str">
        <f>IFERROR(ROUND(+I41/IF($D$10="No",B52,C52),3),"NA")</f>
        <v>NA</v>
      </c>
      <c r="L41" s="258" t="str">
        <f t="shared" si="7"/>
        <v>NA</v>
      </c>
    </row>
    <row r="42" spans="1:12" x14ac:dyDescent="0.25">
      <c r="A42" s="360" t="s">
        <v>200</v>
      </c>
      <c r="B42" s="256">
        <f t="shared" si="4"/>
        <v>0</v>
      </c>
      <c r="C42" s="256">
        <f t="shared" si="4"/>
        <v>0</v>
      </c>
      <c r="D42" s="257" t="str">
        <f>IFERROR(ROUND(+B42/IF($D$10="No",B54,C54),3),"NA")</f>
        <v>NA</v>
      </c>
      <c r="E42" s="257" t="str">
        <f>IFERROR(ROUND(+C42/IF($D$10="No",B52,C52),3),"NA")</f>
        <v>NA</v>
      </c>
      <c r="F42" s="258" t="str">
        <f t="shared" si="5"/>
        <v>NA</v>
      </c>
      <c r="G42" s="260"/>
      <c r="H42" s="256">
        <f t="shared" si="6"/>
        <v>0</v>
      </c>
      <c r="I42" s="256">
        <f t="shared" si="6"/>
        <v>0</v>
      </c>
      <c r="J42" s="257" t="str">
        <f>IFERROR(ROUND(+H42/IF($D$10="No",B51,C51),3),"NA")</f>
        <v>NA</v>
      </c>
      <c r="K42" s="257" t="str">
        <f>IFERROR(ROUND(+I42/IF($D$10="No",B52,C52),3),"NA")</f>
        <v>NA</v>
      </c>
      <c r="L42" s="258" t="str">
        <f t="shared" si="7"/>
        <v>NA</v>
      </c>
    </row>
    <row r="43" spans="1:12" x14ac:dyDescent="0.25">
      <c r="A43" s="360" t="s">
        <v>355</v>
      </c>
      <c r="B43" s="361" t="str">
        <f>IFERROR(+D43* IF($D$10="No",SUM(B50,B51,B52),SUM(C50,C51,C52)),"NA")</f>
        <v>NA</v>
      </c>
      <c r="C43" s="256">
        <f>E43*IF($D$10="No",B52,C52)</f>
        <v>0</v>
      </c>
      <c r="D43" s="257" t="str">
        <f>IF($D$10="No",D21,D32)</f>
        <v>NA</v>
      </c>
      <c r="E43" s="257">
        <f>IF($D$10="No",'Page 2. IKTVA Schedule'!L32,'Page 2. IKTVA Schedule'!M32)</f>
        <v>0</v>
      </c>
      <c r="F43" s="258" t="str">
        <f t="shared" si="5"/>
        <v>NA</v>
      </c>
      <c r="G43" s="260"/>
      <c r="H43" s="256"/>
      <c r="I43" s="256">
        <f>E43*IF($D$10="No",B52,C52)</f>
        <v>0</v>
      </c>
      <c r="J43" s="257"/>
      <c r="K43" s="257">
        <f>IF($D$10="No",'Page 2. IKTVA Schedule'!L32,'Page 2. IKTVA Schedule'!M32)</f>
        <v>0</v>
      </c>
      <c r="L43" s="258">
        <f t="shared" si="7"/>
        <v>0</v>
      </c>
    </row>
    <row r="44" spans="1:12" x14ac:dyDescent="0.25">
      <c r="A44" s="260"/>
      <c r="B44" s="261">
        <f>SUM(B38:B43)</f>
        <v>0</v>
      </c>
      <c r="C44" s="261">
        <f>SUM(C38:C43)</f>
        <v>0</v>
      </c>
      <c r="D44" s="362">
        <f>SUM(D38:D43)</f>
        <v>0</v>
      </c>
      <c r="E44" s="362">
        <f>SUM(E38:E43)</f>
        <v>0</v>
      </c>
      <c r="F44" s="362">
        <f>SUM(F38:F43)</f>
        <v>0</v>
      </c>
      <c r="G44" s="260"/>
      <c r="H44" s="261">
        <f>SUM(H38:H43)</f>
        <v>0</v>
      </c>
      <c r="I44" s="261">
        <f>SUM(I38:I43)</f>
        <v>0</v>
      </c>
      <c r="J44" s="362">
        <f>SUM(J38:J43)</f>
        <v>0</v>
      </c>
      <c r="K44" s="362">
        <f>SUM(K38:K43)</f>
        <v>0</v>
      </c>
      <c r="L44" s="362">
        <f>SUM(L38:L43)</f>
        <v>0</v>
      </c>
    </row>
    <row r="45" spans="1:12" x14ac:dyDescent="0.25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</row>
    <row r="46" spans="1:12" ht="21" x14ac:dyDescent="0.35">
      <c r="A46" s="253" t="s">
        <v>36</v>
      </c>
      <c r="B46" s="254"/>
      <c r="C46" s="254"/>
      <c r="D46" s="41"/>
      <c r="E46" s="41"/>
      <c r="J46" s="41"/>
    </row>
    <row r="47" spans="1:12" s="214" customFormat="1" ht="30" x14ac:dyDescent="0.25">
      <c r="A47" s="252" t="s">
        <v>174</v>
      </c>
      <c r="B47" s="252" t="s">
        <v>47</v>
      </c>
      <c r="C47" s="252" t="s">
        <v>87</v>
      </c>
      <c r="D47" s="252" t="s">
        <v>28</v>
      </c>
    </row>
    <row r="48" spans="1:12" x14ac:dyDescent="0.25">
      <c r="A48" s="268">
        <v>2013</v>
      </c>
      <c r="B48" s="261">
        <f>+'Page 2. IKTVA Schedule'!D13</f>
        <v>0</v>
      </c>
      <c r="C48" s="261">
        <f>+'Page 2. IKTVA Schedule'!E13</f>
        <v>0</v>
      </c>
      <c r="D48" s="78">
        <f>+'Page 2. IKTVA Schedule'!E$12</f>
        <v>0</v>
      </c>
      <c r="E48" s="41"/>
      <c r="J48" s="41"/>
    </row>
    <row r="49" spans="1:10" x14ac:dyDescent="0.25">
      <c r="A49" s="142">
        <v>2014</v>
      </c>
      <c r="B49" s="78">
        <f>+'Page 2. IKTVA Schedule'!F13</f>
        <v>0</v>
      </c>
      <c r="C49" s="78">
        <f>+'Page 2. IKTVA Schedule'!G13</f>
        <v>0</v>
      </c>
      <c r="D49" s="78">
        <f>+'Page 2. IKTVA Schedule'!G$12</f>
        <v>0</v>
      </c>
      <c r="E49" s="41"/>
      <c r="J49" s="41"/>
    </row>
    <row r="50" spans="1:10" x14ac:dyDescent="0.25">
      <c r="A50" s="142">
        <v>2015</v>
      </c>
      <c r="B50" s="78">
        <f>+'Page 2. IKTVA Schedule'!H13</f>
        <v>0</v>
      </c>
      <c r="C50" s="78">
        <f>+'Page 2. IKTVA Schedule'!I13</f>
        <v>0</v>
      </c>
      <c r="D50" s="78">
        <f>+'Page 2. IKTVA Schedule'!I$12</f>
        <v>0</v>
      </c>
      <c r="E50" s="41"/>
      <c r="J50" s="41"/>
    </row>
    <row r="51" spans="1:10" x14ac:dyDescent="0.25">
      <c r="A51" s="142">
        <v>2016</v>
      </c>
      <c r="B51" s="78">
        <f>+'Page 2. IKTVA Schedule'!J13</f>
        <v>0</v>
      </c>
      <c r="C51" s="78">
        <f>+'Page 2. IKTVA Schedule'!K13</f>
        <v>0</v>
      </c>
      <c r="D51" s="78">
        <f>+'Page 2. IKTVA Schedule'!K$12</f>
        <v>0</v>
      </c>
      <c r="E51" s="41"/>
      <c r="J51" s="41"/>
    </row>
    <row r="52" spans="1:10" x14ac:dyDescent="0.25">
      <c r="A52" s="142">
        <f>+A51+1</f>
        <v>2017</v>
      </c>
      <c r="B52" s="78">
        <f>+'Page 2. IKTVA Schedule'!L13</f>
        <v>0</v>
      </c>
      <c r="C52" s="78">
        <f>+'Page 2. IKTVA Schedule'!M13</f>
        <v>0</v>
      </c>
      <c r="D52" s="78">
        <f>+'Page 2. IKTVA Schedule'!M$12</f>
        <v>0</v>
      </c>
      <c r="E52" s="41"/>
      <c r="J52" s="41"/>
    </row>
    <row r="53" spans="1:10" x14ac:dyDescent="0.25">
      <c r="B53" s="78"/>
      <c r="C53" s="78"/>
      <c r="D53" s="41"/>
      <c r="E53" s="41"/>
      <c r="J53" s="41"/>
    </row>
    <row r="54" spans="1:10" s="260" customFormat="1" x14ac:dyDescent="0.25">
      <c r="A54" s="262" t="s">
        <v>214</v>
      </c>
      <c r="B54" s="263">
        <f>SUM(B50:B52)</f>
        <v>0</v>
      </c>
      <c r="C54" s="264">
        <f>SUM(C50:C52)</f>
        <v>0</v>
      </c>
    </row>
    <row r="55" spans="1:10" x14ac:dyDescent="0.25">
      <c r="A55" s="265" t="s">
        <v>228</v>
      </c>
      <c r="B55" s="266">
        <f>AVERAGE(B50:B52)/1000000</f>
        <v>0</v>
      </c>
      <c r="C55" s="267">
        <f>AVERAGE(C50:C52)/1000000</f>
        <v>0</v>
      </c>
      <c r="D55" s="41"/>
      <c r="E55" s="41"/>
      <c r="J55" s="41"/>
    </row>
    <row r="56" spans="1:10" x14ac:dyDescent="0.25">
      <c r="C56" s="41"/>
      <c r="D56" s="41"/>
      <c r="E56" s="41"/>
      <c r="J56" s="41"/>
    </row>
    <row r="57" spans="1:10" x14ac:dyDescent="0.25">
      <c r="A57" s="276" t="s">
        <v>220</v>
      </c>
      <c r="B57" s="259"/>
      <c r="C57" s="259"/>
      <c r="D57" s="259"/>
      <c r="E57" s="41"/>
      <c r="J57" s="41"/>
    </row>
    <row r="58" spans="1:10" x14ac:dyDescent="0.25">
      <c r="A58" s="275" t="s">
        <v>221</v>
      </c>
      <c r="B58" s="201"/>
      <c r="C58" s="41"/>
      <c r="D58" s="201" t="str">
        <f>IFERROR(SUM(B50:B52)/SUM(C50:C52),"NA")</f>
        <v>NA</v>
      </c>
      <c r="E58" s="41"/>
      <c r="J58" s="41"/>
    </row>
    <row r="59" spans="1:10" x14ac:dyDescent="0.25">
      <c r="A59" s="275" t="s">
        <v>222</v>
      </c>
      <c r="C59" s="41"/>
      <c r="D59" s="201" t="str">
        <f>IFERROR(SUM(D50:D52)/SUM(C50:C52),"NA")</f>
        <v>NA</v>
      </c>
      <c r="E59" s="41"/>
      <c r="J59" s="41"/>
    </row>
    <row r="60" spans="1:10" x14ac:dyDescent="0.25">
      <c r="C60" s="41"/>
      <c r="D60" s="41"/>
      <c r="E60" s="41"/>
      <c r="G60" s="200"/>
      <c r="J60" s="41"/>
    </row>
    <row r="61" spans="1:10" x14ac:dyDescent="0.25">
      <c r="C61" s="41"/>
      <c r="D61" s="41"/>
      <c r="E61" s="41"/>
      <c r="G61" s="200"/>
      <c r="J61" s="41"/>
    </row>
    <row r="62" spans="1:10" x14ac:dyDescent="0.25">
      <c r="C62" s="41"/>
      <c r="D62" s="41"/>
      <c r="E62" s="41"/>
      <c r="G62" s="200"/>
      <c r="J62" s="41"/>
    </row>
    <row r="63" spans="1:10" x14ac:dyDescent="0.25">
      <c r="C63" s="41"/>
      <c r="D63" s="41"/>
      <c r="E63" s="41"/>
      <c r="G63" s="200"/>
      <c r="J63" s="41"/>
    </row>
    <row r="64" spans="1:10" x14ac:dyDescent="0.25">
      <c r="C64" s="41"/>
      <c r="D64" s="41"/>
      <c r="E64" s="41"/>
      <c r="G64" s="200"/>
      <c r="J64" s="41"/>
    </row>
    <row r="65" spans="1:10" x14ac:dyDescent="0.25">
      <c r="C65" s="41"/>
      <c r="D65" s="41"/>
      <c r="E65" s="41"/>
      <c r="G65" s="200"/>
      <c r="J65" s="41"/>
    </row>
    <row r="66" spans="1:10" x14ac:dyDescent="0.25">
      <c r="A66" s="202"/>
      <c r="B66" s="202"/>
      <c r="C66" s="41"/>
      <c r="D66" s="41"/>
      <c r="E66" s="41"/>
      <c r="G66" s="200"/>
      <c r="J66" s="41"/>
    </row>
    <row r="67" spans="1:10" x14ac:dyDescent="0.25">
      <c r="A67" s="202"/>
      <c r="B67" s="202"/>
      <c r="C67" s="41"/>
      <c r="D67" s="41"/>
      <c r="E67" s="41"/>
      <c r="G67" s="200"/>
      <c r="J67" s="41"/>
    </row>
    <row r="68" spans="1:10" x14ac:dyDescent="0.25">
      <c r="A68" s="202"/>
      <c r="B68" s="202"/>
      <c r="C68" s="41"/>
      <c r="D68" s="41"/>
      <c r="E68" s="41"/>
      <c r="G68" s="200"/>
      <c r="J68" s="41"/>
    </row>
    <row r="69" spans="1:10" x14ac:dyDescent="0.25">
      <c r="A69" s="202"/>
      <c r="B69" s="202"/>
      <c r="C69" s="41"/>
      <c r="D69" s="41"/>
      <c r="E69" s="41"/>
      <c r="G69" s="200"/>
      <c r="J69" s="41"/>
    </row>
    <row r="70" spans="1:10" x14ac:dyDescent="0.25">
      <c r="A70" s="202"/>
      <c r="B70" s="202"/>
      <c r="C70" s="41"/>
      <c r="D70" s="41"/>
      <c r="E70" s="41"/>
      <c r="G70" s="200"/>
      <c r="J70" s="41"/>
    </row>
    <row r="71" spans="1:10" x14ac:dyDescent="0.25">
      <c r="A71" s="202"/>
      <c r="B71" s="202"/>
      <c r="C71" s="41"/>
      <c r="D71" s="41"/>
      <c r="E71" s="41"/>
      <c r="G71" s="200"/>
      <c r="J71" s="41"/>
    </row>
    <row r="72" spans="1:10" x14ac:dyDescent="0.25">
      <c r="A72" s="202"/>
      <c r="B72" s="202"/>
      <c r="C72" s="41"/>
      <c r="D72" s="41"/>
      <c r="E72" s="41"/>
      <c r="G72" s="200"/>
      <c r="J72" s="41"/>
    </row>
    <row r="73" spans="1:10" x14ac:dyDescent="0.25">
      <c r="A73" s="202"/>
      <c r="B73" s="202"/>
      <c r="C73" s="41"/>
      <c r="D73" s="41"/>
      <c r="E73" s="41"/>
      <c r="G73" s="200"/>
      <c r="J73" s="41"/>
    </row>
    <row r="74" spans="1:10" x14ac:dyDescent="0.25">
      <c r="A74" s="202"/>
      <c r="B74" s="202"/>
      <c r="C74" s="41"/>
      <c r="D74" s="41"/>
      <c r="E74" s="41"/>
      <c r="G74" s="200"/>
      <c r="J74" s="41"/>
    </row>
    <row r="75" spans="1:10" x14ac:dyDescent="0.25">
      <c r="A75" s="202"/>
      <c r="B75" s="202"/>
      <c r="C75" s="41"/>
      <c r="D75" s="41"/>
      <c r="E75" s="41"/>
      <c r="G75" s="200"/>
      <c r="J75" s="41"/>
    </row>
    <row r="76" spans="1:10" x14ac:dyDescent="0.25">
      <c r="A76" s="202"/>
      <c r="B76" s="202"/>
      <c r="C76" s="41"/>
      <c r="D76" s="41"/>
      <c r="E76" s="41"/>
      <c r="G76" s="200"/>
      <c r="J76" s="41"/>
    </row>
    <row r="77" spans="1:10" x14ac:dyDescent="0.25">
      <c r="A77" s="202"/>
      <c r="B77" s="202"/>
      <c r="C77" s="41"/>
      <c r="D77" s="41"/>
      <c r="E77" s="41"/>
      <c r="G77" s="200"/>
      <c r="J77" s="41"/>
    </row>
    <row r="78" spans="1:10" x14ac:dyDescent="0.25">
      <c r="A78" s="202"/>
      <c r="B78" s="202"/>
      <c r="C78" s="41"/>
      <c r="D78" s="41"/>
      <c r="E78" s="41"/>
      <c r="G78" s="200"/>
      <c r="J78" s="41"/>
    </row>
    <row r="79" spans="1:10" x14ac:dyDescent="0.25">
      <c r="A79" s="202"/>
      <c r="B79" s="202"/>
      <c r="C79" s="41"/>
      <c r="D79" s="41"/>
      <c r="E79" s="41"/>
      <c r="G79" s="200"/>
      <c r="J79" s="41"/>
    </row>
    <row r="80" spans="1:10" x14ac:dyDescent="0.25">
      <c r="A80" s="202"/>
      <c r="B80" s="202"/>
      <c r="C80" s="41"/>
      <c r="D80" s="41"/>
      <c r="E80" s="41"/>
      <c r="G80" s="200"/>
      <c r="J80" s="41"/>
    </row>
    <row r="81" spans="1:10" x14ac:dyDescent="0.25">
      <c r="A81" s="202"/>
      <c r="B81" s="202"/>
      <c r="C81" s="41"/>
      <c r="D81" s="41"/>
      <c r="E81" s="41"/>
      <c r="G81" s="200"/>
      <c r="J81" s="41"/>
    </row>
    <row r="82" spans="1:10" x14ac:dyDescent="0.25">
      <c r="A82" s="202"/>
      <c r="B82" s="202"/>
      <c r="C82" s="41"/>
      <c r="D82" s="41"/>
      <c r="E82" s="41"/>
      <c r="G82" s="200"/>
      <c r="J82" s="41"/>
    </row>
    <row r="83" spans="1:10" x14ac:dyDescent="0.25">
      <c r="A83" s="202"/>
      <c r="B83" s="202"/>
      <c r="C83" s="41"/>
      <c r="D83" s="41"/>
      <c r="E83" s="41"/>
      <c r="G83" s="200"/>
      <c r="J83" s="41"/>
    </row>
    <row r="84" spans="1:10" x14ac:dyDescent="0.25">
      <c r="A84" s="202"/>
      <c r="B84" s="202"/>
      <c r="C84" s="41"/>
      <c r="D84" s="41"/>
      <c r="E84" s="41"/>
      <c r="G84" s="200"/>
      <c r="J84" s="41"/>
    </row>
    <row r="85" spans="1:10" x14ac:dyDescent="0.25">
      <c r="A85" s="202"/>
      <c r="B85" s="202"/>
      <c r="C85" s="41"/>
      <c r="D85" s="41"/>
      <c r="E85" s="41"/>
      <c r="G85" s="200"/>
      <c r="J85" s="41"/>
    </row>
    <row r="86" spans="1:10" x14ac:dyDescent="0.25">
      <c r="A86" s="202"/>
      <c r="B86" s="202"/>
      <c r="C86" s="41"/>
      <c r="D86" s="41"/>
      <c r="E86" s="41"/>
      <c r="G86" s="200"/>
      <c r="J86" s="41"/>
    </row>
    <row r="87" spans="1:10" x14ac:dyDescent="0.25">
      <c r="A87" s="202"/>
      <c r="B87" s="202"/>
      <c r="C87" s="41"/>
      <c r="D87" s="41"/>
      <c r="E87" s="41"/>
      <c r="G87" s="200"/>
      <c r="J87" s="41"/>
    </row>
    <row r="88" spans="1:10" x14ac:dyDescent="0.25">
      <c r="A88" s="202"/>
      <c r="B88" s="202"/>
      <c r="C88" s="41"/>
      <c r="D88" s="41"/>
      <c r="E88" s="41"/>
      <c r="G88" s="200"/>
      <c r="J88" s="41"/>
    </row>
    <row r="89" spans="1:10" x14ac:dyDescent="0.25">
      <c r="A89" s="202"/>
      <c r="B89" s="202"/>
      <c r="C89" s="41"/>
      <c r="D89" s="41"/>
      <c r="E89" s="41"/>
      <c r="G89" s="200"/>
      <c r="J89" s="41"/>
    </row>
    <row r="90" spans="1:10" x14ac:dyDescent="0.25">
      <c r="A90" s="202"/>
      <c r="B90" s="202"/>
      <c r="C90" s="41"/>
      <c r="D90" s="41"/>
      <c r="E90" s="41"/>
      <c r="G90" s="200"/>
      <c r="J90" s="41"/>
    </row>
    <row r="91" spans="1:10" x14ac:dyDescent="0.25">
      <c r="A91" s="202"/>
      <c r="B91" s="202"/>
      <c r="C91" s="41"/>
      <c r="D91" s="41"/>
      <c r="E91" s="41"/>
      <c r="G91" s="200"/>
      <c r="J91" s="41"/>
    </row>
    <row r="92" spans="1:10" x14ac:dyDescent="0.25">
      <c r="A92" s="202"/>
      <c r="B92" s="202"/>
      <c r="C92" s="41"/>
      <c r="D92" s="41"/>
      <c r="E92" s="41"/>
      <c r="G92" s="200"/>
      <c r="J92" s="41"/>
    </row>
    <row r="93" spans="1:10" x14ac:dyDescent="0.25">
      <c r="A93" s="202"/>
      <c r="B93" s="202"/>
      <c r="C93" s="41"/>
      <c r="D93" s="41"/>
      <c r="E93" s="41"/>
      <c r="G93" s="200"/>
      <c r="J93" s="41"/>
    </row>
    <row r="94" spans="1:10" x14ac:dyDescent="0.25">
      <c r="A94" s="202"/>
      <c r="B94" s="202"/>
      <c r="C94" s="41"/>
      <c r="D94" s="41"/>
      <c r="E94" s="41"/>
      <c r="G94" s="200"/>
      <c r="J94" s="41"/>
    </row>
    <row r="95" spans="1:10" x14ac:dyDescent="0.25">
      <c r="A95" s="202"/>
      <c r="B95" s="202"/>
      <c r="C95" s="41"/>
      <c r="D95" s="41"/>
      <c r="E95" s="41"/>
      <c r="G95" s="200"/>
      <c r="J95" s="41"/>
    </row>
    <row r="96" spans="1:10" x14ac:dyDescent="0.25">
      <c r="A96" s="202"/>
      <c r="B96" s="202"/>
      <c r="C96" s="41"/>
      <c r="D96" s="41"/>
      <c r="E96" s="41"/>
      <c r="G96" s="200"/>
      <c r="J96" s="41"/>
    </row>
    <row r="97" spans="1:10" x14ac:dyDescent="0.25">
      <c r="A97" s="202"/>
      <c r="B97" s="202"/>
      <c r="C97" s="41"/>
      <c r="D97" s="41"/>
      <c r="E97" s="41"/>
      <c r="G97" s="200"/>
      <c r="J97" s="41"/>
    </row>
    <row r="98" spans="1:10" x14ac:dyDescent="0.25">
      <c r="A98" s="202"/>
      <c r="B98" s="202"/>
      <c r="C98" s="41"/>
      <c r="D98" s="41"/>
      <c r="E98" s="41"/>
      <c r="G98" s="200"/>
      <c r="J98" s="41"/>
    </row>
    <row r="99" spans="1:10" x14ac:dyDescent="0.25">
      <c r="A99" s="202"/>
      <c r="B99" s="202"/>
      <c r="C99" s="41"/>
      <c r="D99" s="41"/>
      <c r="E99" s="41"/>
      <c r="G99" s="200"/>
      <c r="J99" s="41"/>
    </row>
    <row r="100" spans="1:10" x14ac:dyDescent="0.25">
      <c r="A100" s="202"/>
      <c r="B100" s="202"/>
      <c r="C100" s="41"/>
      <c r="D100" s="41"/>
      <c r="E100" s="41"/>
      <c r="G100" s="200"/>
      <c r="J100" s="41"/>
    </row>
    <row r="101" spans="1:10" x14ac:dyDescent="0.25">
      <c r="A101" s="202"/>
      <c r="B101" s="202"/>
      <c r="C101" s="41"/>
      <c r="D101" s="41"/>
      <c r="E101" s="41"/>
      <c r="G101" s="200"/>
      <c r="J101" s="41"/>
    </row>
    <row r="102" spans="1:10" x14ac:dyDescent="0.25">
      <c r="A102" s="202"/>
      <c r="B102" s="202"/>
      <c r="C102" s="41"/>
      <c r="D102" s="41"/>
      <c r="E102" s="41"/>
      <c r="G102" s="200"/>
      <c r="J102" s="41"/>
    </row>
  </sheetData>
  <sheetProtection formatCells="0" formatColumns="0" formatRows="0" insertColumns="0" insertRows="0" insertHyperlinks="0" deleteColumns="0" deleteRows="0" selectLockedCells="1" sort="0" autoFilter="0" pivotTables="0"/>
  <pageMargins left="0.7" right="0.7" top="0.75" bottom="0.75" header="0.3" footer="0.3"/>
  <pageSetup fitToHeight="0" orientation="portrait" r:id="rId1"/>
  <headerFooter differentOddEven="1">
    <oddFooter>&amp;CSaudi Aramco: Confidential</oddFooter>
    <evenFooter>&amp;CSaudi Aramco: Confidential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2:N68"/>
  <sheetViews>
    <sheetView showGridLines="0" workbookViewId="0">
      <pane ySplit="3" topLeftCell="A4" activePane="bottomLeft" state="frozen"/>
      <selection pane="bottomLeft" activeCell="F12" sqref="F12"/>
    </sheetView>
  </sheetViews>
  <sheetFormatPr defaultRowHeight="15" x14ac:dyDescent="0.25"/>
  <cols>
    <col min="1" max="1" width="2.7109375" style="3" customWidth="1"/>
    <col min="2" max="2" width="29" style="2" customWidth="1"/>
    <col min="3" max="3" width="10.5703125" style="2" bestFit="1" customWidth="1"/>
    <col min="4" max="7" width="9.140625" style="2"/>
    <col min="8" max="8" width="2.7109375" style="2" customWidth="1"/>
    <col min="9" max="10" width="10.5703125" style="2" bestFit="1" customWidth="1"/>
    <col min="11" max="13" width="10.5703125" style="2" customWidth="1"/>
    <col min="14" max="15" width="9.140625" style="2"/>
    <col min="16" max="16" width="2.7109375" style="2" customWidth="1"/>
    <col min="17" max="16384" width="9.140625" style="2"/>
  </cols>
  <sheetData>
    <row r="2" spans="1:14" x14ac:dyDescent="0.25">
      <c r="A2" s="4"/>
      <c r="B2" s="5"/>
      <c r="C2" s="430" t="s">
        <v>0</v>
      </c>
      <c r="D2" s="430"/>
      <c r="E2" s="430"/>
      <c r="F2" s="430"/>
      <c r="G2" s="430"/>
      <c r="I2" s="430" t="s">
        <v>27</v>
      </c>
      <c r="J2" s="430"/>
      <c r="K2" s="430"/>
      <c r="L2" s="430"/>
      <c r="M2" s="430"/>
    </row>
    <row r="3" spans="1:14" x14ac:dyDescent="0.25">
      <c r="A3" s="4"/>
      <c r="B3" s="5"/>
      <c r="C3" s="283">
        <f>+D3-1</f>
        <v>2013</v>
      </c>
      <c r="D3" s="283">
        <f>+E3-1</f>
        <v>2014</v>
      </c>
      <c r="E3" s="283">
        <f>+F3-1</f>
        <v>2015</v>
      </c>
      <c r="F3" s="208">
        <f>+G3-1</f>
        <v>2016</v>
      </c>
      <c r="G3" s="225">
        <f>+Data!K15</f>
        <v>2017</v>
      </c>
      <c r="I3" s="283">
        <f t="shared" ref="I3:L3" si="0">+C3</f>
        <v>2013</v>
      </c>
      <c r="J3" s="283">
        <f t="shared" si="0"/>
        <v>2014</v>
      </c>
      <c r="K3" s="283">
        <f t="shared" si="0"/>
        <v>2015</v>
      </c>
      <c r="L3" s="283">
        <f t="shared" si="0"/>
        <v>2016</v>
      </c>
      <c r="M3" s="225">
        <f>+G3</f>
        <v>2017</v>
      </c>
    </row>
    <row r="4" spans="1:14" x14ac:dyDescent="0.25">
      <c r="A4" s="3" t="s">
        <v>80</v>
      </c>
    </row>
    <row r="5" spans="1:14" x14ac:dyDescent="0.25">
      <c r="B5" s="2" t="s">
        <v>78</v>
      </c>
      <c r="I5" s="6" t="str">
        <f>IFERROR(+'Page 2. IKTVA Schedule'!E10/'Page 2. IKTVA Schedule'!E$13,"NA")</f>
        <v>NA</v>
      </c>
      <c r="J5" s="6" t="str">
        <f>IFERROR(+'Page 2. IKTVA Schedule'!G10/'Page 2. IKTVA Schedule'!G$13,"NA")</f>
        <v>NA</v>
      </c>
      <c r="K5" s="6" t="str">
        <f>IFERROR(+'Page 2. IKTVA Schedule'!I10/'Page 2. IKTVA Schedule'!I$13,"NA")</f>
        <v>NA</v>
      </c>
      <c r="L5" s="6" t="str">
        <f>IFERROR(+'Page 2. IKTVA Schedule'!K10/'Page 2. IKTVA Schedule'!K$13,"NA")</f>
        <v>NA</v>
      </c>
      <c r="M5" s="6" t="str">
        <f>IFERROR(+'Page 2. IKTVA Schedule'!M10/'Page 2. IKTVA Schedule'!M$13,"NA")</f>
        <v>NA</v>
      </c>
    </row>
    <row r="6" spans="1:14" x14ac:dyDescent="0.25">
      <c r="B6" s="2" t="s">
        <v>79</v>
      </c>
      <c r="I6" s="6" t="str">
        <f>IFERROR(+'Page 2. IKTVA Schedule'!E11/'Page 2. IKTVA Schedule'!E$13,"NA")</f>
        <v>NA</v>
      </c>
      <c r="J6" s="6" t="str">
        <f>IFERROR(+'Page 2. IKTVA Schedule'!G11/'Page 2. IKTVA Schedule'!G$13,"NA")</f>
        <v>NA</v>
      </c>
      <c r="K6" s="6" t="str">
        <f>IFERROR(+'Page 2. IKTVA Schedule'!I11/'Page 2. IKTVA Schedule'!I$13,"NA")</f>
        <v>NA</v>
      </c>
      <c r="L6" s="6" t="str">
        <f>IFERROR(+'Page 2. IKTVA Schedule'!K11/'Page 2. IKTVA Schedule'!K$13,"NA")</f>
        <v>NA</v>
      </c>
      <c r="M6" s="6" t="str">
        <f>IFERROR(+'Page 2. IKTVA Schedule'!M11/'Page 2. IKTVA Schedule'!M$13,"NA")</f>
        <v>NA</v>
      </c>
    </row>
    <row r="7" spans="1:14" x14ac:dyDescent="0.25">
      <c r="B7" s="2" t="s">
        <v>28</v>
      </c>
      <c r="D7" s="6"/>
      <c r="E7" s="271" t="s">
        <v>195</v>
      </c>
      <c r="F7" s="271"/>
      <c r="G7" s="272" t="str">
        <f>IFERROR(SUM('Page 2. IKTVA Schedule'!I12,'Page 2. IKTVA Schedule'!K12,'Page 2. IKTVA Schedule'!M12)/SUM('Page 2. IKTVA Schedule'!I13,'Page 2. IKTVA Schedule'!K13,'Page 2. IKTVA Schedule'!M13),"NA")</f>
        <v>NA</v>
      </c>
      <c r="I7" s="6" t="str">
        <f>IFERROR(+'Page 2. IKTVA Schedule'!E12/'Page 2. IKTVA Schedule'!E$13,"NA")</f>
        <v>NA</v>
      </c>
      <c r="J7" s="6" t="str">
        <f>IFERROR(+'Page 2. IKTVA Schedule'!G12/'Page 2. IKTVA Schedule'!G$13,"NA")</f>
        <v>NA</v>
      </c>
      <c r="K7" s="6" t="str">
        <f>IFERROR(+'Page 2. IKTVA Schedule'!I12/'Page 2. IKTVA Schedule'!I$13,"NA")</f>
        <v>NA</v>
      </c>
      <c r="L7" s="6" t="str">
        <f>IFERROR(+'Page 2. IKTVA Schedule'!K12/'Page 2. IKTVA Schedule'!K$13,"NA")</f>
        <v>NA</v>
      </c>
      <c r="M7" s="6" t="str">
        <f>IFERROR(+'Page 2. IKTVA Schedule'!M12/'Page 2. IKTVA Schedule'!M$13,"NA")</f>
        <v>NA</v>
      </c>
    </row>
    <row r="8" spans="1:14" ht="5.0999999999999996" customHeight="1" x14ac:dyDescent="0.25">
      <c r="D8" s="6"/>
      <c r="E8" s="6"/>
      <c r="F8" s="6"/>
      <c r="G8" s="6"/>
      <c r="I8" s="6"/>
      <c r="J8" s="6"/>
      <c r="K8" s="6"/>
      <c r="L8" s="6"/>
      <c r="M8" s="6"/>
    </row>
    <row r="9" spans="1:14" x14ac:dyDescent="0.25">
      <c r="B9" s="2" t="s">
        <v>29</v>
      </c>
      <c r="C9" s="6" t="str">
        <f>IFERROR(+'Page 2. IKTVA Schedule'!D13/'Page 2. IKTVA Schedule'!E13,"NA")</f>
        <v>NA</v>
      </c>
      <c r="D9" s="6" t="str">
        <f>IFERROR(+'Page 2. IKTVA Schedule'!F13/'Page 2. IKTVA Schedule'!G13,"NA")</f>
        <v>NA</v>
      </c>
      <c r="E9" s="6" t="str">
        <f>IFERROR(+'Page 2. IKTVA Schedule'!H13/'Page 2. IKTVA Schedule'!I13,"NA")</f>
        <v>NA</v>
      </c>
      <c r="F9" s="6" t="str">
        <f>IFERROR(+'Page 2. IKTVA Schedule'!J13/'Page 2. IKTVA Schedule'!K13,"NA")</f>
        <v>NA</v>
      </c>
      <c r="G9" s="6" t="str">
        <f>IFERROR(+'Page 2. IKTVA Schedule'!L13/'Page 2. IKTVA Schedule'!M13,"NA")</f>
        <v>NA</v>
      </c>
      <c r="K9" s="271" t="s">
        <v>195</v>
      </c>
      <c r="L9" s="271"/>
      <c r="M9" s="272" t="str">
        <f>IFERROR(SUM('Page 2. IKTVA Schedule'!L13,'Page 2. IKTVA Schedule'!J13,'Page 2. IKTVA Schedule'!H13)/SUM('Page 2. IKTVA Schedule'!M13,'Page 2. IKTVA Schedule'!K13,'Page 2. IKTVA Schedule'!I13),"NA")</f>
        <v>NA</v>
      </c>
    </row>
    <row r="10" spans="1:14" ht="5.0999999999999996" customHeight="1" x14ac:dyDescent="0.25">
      <c r="C10" s="6"/>
      <c r="D10" s="6"/>
      <c r="E10" s="6"/>
      <c r="F10" s="6"/>
      <c r="G10" s="6"/>
    </row>
    <row r="11" spans="1:14" x14ac:dyDescent="0.25">
      <c r="B11" s="2" t="s">
        <v>230</v>
      </c>
      <c r="C11" s="6" t="str">
        <f>IFERROR(+'Page 2. IKTVA Schedule'!D17/'Page 2. IKTVA Schedule'!D13,"NA")</f>
        <v>NA</v>
      </c>
      <c r="D11" s="6" t="str">
        <f>IFERROR(+'Page 2. IKTVA Schedule'!F17/'Page 2. IKTVA Schedule'!F13,"NA")</f>
        <v>NA</v>
      </c>
      <c r="E11" s="6" t="str">
        <f>IFERROR(+'Page 2. IKTVA Schedule'!H17/'Page 2. IKTVA Schedule'!H13,"NA")</f>
        <v>NA</v>
      </c>
      <c r="F11" s="6" t="str">
        <f>IFERROR(+'Page 2. IKTVA Schedule'!J17/'Page 2. IKTVA Schedule'!J$13,"NA")</f>
        <v>NA</v>
      </c>
      <c r="G11" s="6" t="str">
        <f>IFERROR(+'Page 2. IKTVA Schedule'!L17/'Page 2. IKTVA Schedule'!L$13,"NA")</f>
        <v>NA</v>
      </c>
      <c r="I11" s="6" t="str">
        <f>IFERROR(+'Page 2. IKTVA Schedule'!E17/'Page 2. IKTVA Schedule'!E$13,"NA")</f>
        <v>NA</v>
      </c>
      <c r="J11" s="6" t="str">
        <f>IFERROR(+'Page 2. IKTVA Schedule'!G17/'Page 2. IKTVA Schedule'!G$13,"NA")</f>
        <v>NA</v>
      </c>
      <c r="K11" s="6" t="str">
        <f>IFERROR(+'Page 2. IKTVA Schedule'!I17/'Page 2. IKTVA Schedule'!I$13,"NA")</f>
        <v>NA</v>
      </c>
      <c r="L11" s="6" t="str">
        <f>IFERROR(+'Page 2. IKTVA Schedule'!K17/'Page 2. IKTVA Schedule'!K$13,"NA")</f>
        <v>NA</v>
      </c>
      <c r="M11" s="6" t="str">
        <f>IFERROR(+'Page 2. IKTVA Schedule'!M17/'Page 2. IKTVA Schedule'!M$13,"NA")</f>
        <v>NA</v>
      </c>
    </row>
    <row r="12" spans="1:14" x14ac:dyDescent="0.25">
      <c r="B12" s="2" t="s">
        <v>231</v>
      </c>
      <c r="C12" s="6"/>
      <c r="D12" s="6"/>
      <c r="E12" s="6"/>
      <c r="F12" s="6" t="str">
        <f>IFERROR(+'Page 2. IKTVA Schedule'!J16/'Page 2. IKTVA Schedule'!J$13,"NA")</f>
        <v>NA</v>
      </c>
      <c r="G12" s="6" t="str">
        <f>IFERROR(+'Page 2. IKTVA Schedule'!L16/'Page 2. IKTVA Schedule'!L$13,"NA")</f>
        <v>NA</v>
      </c>
      <c r="I12" s="6"/>
      <c r="J12" s="6"/>
      <c r="K12" s="6"/>
      <c r="L12" s="6" t="str">
        <f>IFERROR(+'Page 2. IKTVA Schedule'!K16/'Page 2. IKTVA Schedule'!K$13,"NA")</f>
        <v>NA</v>
      </c>
      <c r="M12" s="6" t="str">
        <f>IFERROR(+'Page 2. IKTVA Schedule'!M16/'Page 2. IKTVA Schedule'!M$13,"NA")</f>
        <v>NA</v>
      </c>
      <c r="N12" s="419" t="str">
        <f>IF(MAX(L12:M12,F12:G12)&gt;0.029999999999,"Additional auditing procedures required","")</f>
        <v/>
      </c>
    </row>
    <row r="13" spans="1:14" x14ac:dyDescent="0.25">
      <c r="B13" s="2" t="s">
        <v>175</v>
      </c>
      <c r="C13" s="6" t="str">
        <f>IFERROR(+'Page 2. IKTVA Schedule'!D21/'Page 2. IKTVA Schedule'!D$13,"NA")</f>
        <v>NA</v>
      </c>
      <c r="D13" s="6" t="str">
        <f>IFERROR(+'Page 2. IKTVA Schedule'!F21/'Page 2. IKTVA Schedule'!F$13,"NA")</f>
        <v>NA</v>
      </c>
      <c r="E13" s="6" t="str">
        <f>IFERROR(+'Page 2. IKTVA Schedule'!H21/'Page 2. IKTVA Schedule'!H$13,"NA")</f>
        <v>NA</v>
      </c>
      <c r="F13" s="6" t="str">
        <f>IFERROR(+'Page 2. IKTVA Schedule'!J21/'Page 2. IKTVA Schedule'!J$13,"NA")</f>
        <v>NA</v>
      </c>
      <c r="G13" s="6" t="str">
        <f>IFERROR(+'Page 2. IKTVA Schedule'!L21/'Page 2. IKTVA Schedule'!L$13,"NA")</f>
        <v>NA</v>
      </c>
      <c r="I13" s="6" t="str">
        <f>IFERROR(+'Page 2. IKTVA Schedule'!E21/'Page 2. IKTVA Schedule'!E$13,"NA")</f>
        <v>NA</v>
      </c>
      <c r="J13" s="6" t="str">
        <f>IFERROR(+'Page 2. IKTVA Schedule'!G21/'Page 2. IKTVA Schedule'!G$13,"NA")</f>
        <v>NA</v>
      </c>
      <c r="K13" s="6" t="str">
        <f>IFERROR(+'Page 2. IKTVA Schedule'!I21/'Page 2. IKTVA Schedule'!I$13,"NA")</f>
        <v>NA</v>
      </c>
      <c r="L13" s="6" t="str">
        <f>IFERROR(+'Page 2. IKTVA Schedule'!K21/'Page 2. IKTVA Schedule'!K$13,"NA")</f>
        <v>NA</v>
      </c>
      <c r="M13" s="6" t="str">
        <f>IFERROR(+'Page 2. IKTVA Schedule'!M21/'Page 2. IKTVA Schedule'!M$13,"NA")</f>
        <v>NA</v>
      </c>
    </row>
    <row r="14" spans="1:14" x14ac:dyDescent="0.25">
      <c r="B14" s="2" t="s">
        <v>46</v>
      </c>
      <c r="C14" s="6" t="str">
        <f>IFERROR(+'Page 2. IKTVA Schedule'!D25/'Page 2. IKTVA Schedule'!D$13,"NA")</f>
        <v>NA</v>
      </c>
      <c r="D14" s="6" t="str">
        <f>IFERROR(+'Page 2. IKTVA Schedule'!F25/'Page 2. IKTVA Schedule'!F$13,"NA")</f>
        <v>NA</v>
      </c>
      <c r="E14" s="6" t="str">
        <f>IFERROR(+'Page 2. IKTVA Schedule'!H25/'Page 2. IKTVA Schedule'!H$13,"NA")</f>
        <v>NA</v>
      </c>
      <c r="F14" s="6" t="str">
        <f>IFERROR(+'Page 2. IKTVA Schedule'!J25/'Page 2. IKTVA Schedule'!J$13,"NA")</f>
        <v>NA</v>
      </c>
      <c r="G14" s="6" t="str">
        <f>IFERROR(+'Page 2. IKTVA Schedule'!L25/'Page 2. IKTVA Schedule'!L$13,"NA")</f>
        <v>NA</v>
      </c>
      <c r="I14" s="6" t="str">
        <f>IFERROR(+'Page 2. IKTVA Schedule'!E25/'Page 2. IKTVA Schedule'!E$13,"NA")</f>
        <v>NA</v>
      </c>
      <c r="J14" s="6" t="str">
        <f>IFERROR(+'Page 2. IKTVA Schedule'!G25/'Page 2. IKTVA Schedule'!G$13,"NA")</f>
        <v>NA</v>
      </c>
      <c r="K14" s="6" t="str">
        <f>IFERROR(+'Page 2. IKTVA Schedule'!I25/'Page 2. IKTVA Schedule'!I$13,"NA")</f>
        <v>NA</v>
      </c>
      <c r="L14" s="6" t="str">
        <f>IFERROR(+'Page 2. IKTVA Schedule'!K25/'Page 2. IKTVA Schedule'!K$13,"NA")</f>
        <v>NA</v>
      </c>
      <c r="M14" s="6" t="str">
        <f>IFERROR(+'Page 2. IKTVA Schedule'!M25/'Page 2. IKTVA Schedule'!M$13,"NA")</f>
        <v>NA</v>
      </c>
    </row>
    <row r="15" spans="1:14" x14ac:dyDescent="0.25">
      <c r="B15" s="2" t="s">
        <v>31</v>
      </c>
      <c r="C15" s="6" t="str">
        <f>IFERROR(+'Page 2. IKTVA Schedule'!D27/'Page 2. IKTVA Schedule'!D$13,"NA")</f>
        <v>NA</v>
      </c>
      <c r="D15" s="6" t="str">
        <f>IFERROR(+'Page 2. IKTVA Schedule'!F27/'Page 2. IKTVA Schedule'!F$13,"NA")</f>
        <v>NA</v>
      </c>
      <c r="E15" s="6" t="str">
        <f>IFERROR(+'Page 2. IKTVA Schedule'!H27/'Page 2. IKTVA Schedule'!H$13,"NA")</f>
        <v>NA</v>
      </c>
      <c r="F15" s="6" t="str">
        <f>IFERROR(+'Page 2. IKTVA Schedule'!J27/'Page 2. IKTVA Schedule'!J$13,"NA")</f>
        <v>NA</v>
      </c>
      <c r="G15" s="6" t="str">
        <f>IFERROR(+'Page 2. IKTVA Schedule'!L27/'Page 2. IKTVA Schedule'!L$13,"NA")</f>
        <v>NA</v>
      </c>
      <c r="I15" s="6" t="str">
        <f>IFERROR(+'Page 2. IKTVA Schedule'!E27/'Page 2. IKTVA Schedule'!E$13,"NA")</f>
        <v>NA</v>
      </c>
      <c r="J15" s="6" t="str">
        <f>IFERROR(+'Page 2. IKTVA Schedule'!G27/'Page 2. IKTVA Schedule'!G$13,"NA")</f>
        <v>NA</v>
      </c>
      <c r="K15" s="6" t="str">
        <f>IFERROR(+'Page 2. IKTVA Schedule'!I27/'Page 2. IKTVA Schedule'!I$13,"NA")</f>
        <v>NA</v>
      </c>
      <c r="L15" s="6" t="str">
        <f>IFERROR(+'Page 2. IKTVA Schedule'!K27/'Page 2. IKTVA Schedule'!K$13,"NA")</f>
        <v>NA</v>
      </c>
      <c r="M15" s="6" t="str">
        <f>IFERROR(+'Page 2. IKTVA Schedule'!M27/'Page 2. IKTVA Schedule'!M$13,"NA")</f>
        <v>NA</v>
      </c>
    </row>
    <row r="16" spans="1:14" x14ac:dyDescent="0.25">
      <c r="B16" s="2" t="s">
        <v>57</v>
      </c>
      <c r="C16" s="6" t="str">
        <f>IFERROR(+'Page 2. IKTVA Schedule'!D29/'Page 2. IKTVA Schedule'!D$13,"NA")</f>
        <v>NA</v>
      </c>
      <c r="D16" s="6" t="str">
        <f>IFERROR(+'Page 2. IKTVA Schedule'!F29/'Page 2. IKTVA Schedule'!F$13,"NA")</f>
        <v>NA</v>
      </c>
      <c r="E16" s="6" t="str">
        <f>IFERROR(+'Page 2. IKTVA Schedule'!H29/'Page 2. IKTVA Schedule'!H$13,"NA")</f>
        <v>NA</v>
      </c>
      <c r="F16" s="6" t="str">
        <f>IFERROR(+'Page 2. IKTVA Schedule'!J29/'Page 2. IKTVA Schedule'!J$13,"NA")</f>
        <v>NA</v>
      </c>
      <c r="G16" s="6" t="str">
        <f>IFERROR(+'Page 2. IKTVA Schedule'!L29/'Page 2. IKTVA Schedule'!L$13,"NA")</f>
        <v>NA</v>
      </c>
      <c r="I16" s="6" t="str">
        <f>IFERROR(+'Page 2. IKTVA Schedule'!E29/'Page 2. IKTVA Schedule'!E$13,"NA")</f>
        <v>NA</v>
      </c>
      <c r="J16" s="6" t="str">
        <f>IFERROR(+'Page 2. IKTVA Schedule'!G29/'Page 2. IKTVA Schedule'!G$13,"NA")</f>
        <v>NA</v>
      </c>
      <c r="K16" s="6" t="str">
        <f>IFERROR(+'Page 2. IKTVA Schedule'!I29/'Page 2. IKTVA Schedule'!I$13,"NA")</f>
        <v>NA</v>
      </c>
      <c r="L16" s="6" t="str">
        <f>IFERROR(+'Page 2. IKTVA Schedule'!K29/'Page 2. IKTVA Schedule'!K$13,"NA")</f>
        <v>NA</v>
      </c>
      <c r="M16" s="6" t="str">
        <f>IFERROR(+'Page 2. IKTVA Schedule'!M29/'Page 2. IKTVA Schedule'!M$13,"NA")</f>
        <v>NA</v>
      </c>
    </row>
    <row r="17" spans="1:13" ht="5.0999999999999996" customHeight="1" x14ac:dyDescent="0.25">
      <c r="C17" s="6"/>
      <c r="D17" s="6"/>
      <c r="E17" s="6"/>
      <c r="F17" s="6"/>
      <c r="G17" s="6"/>
      <c r="I17" s="6"/>
      <c r="J17" s="6"/>
      <c r="K17" s="6"/>
      <c r="L17" s="6"/>
      <c r="M17" s="6"/>
    </row>
    <row r="18" spans="1:13" x14ac:dyDescent="0.25">
      <c r="B18" s="2" t="s">
        <v>84</v>
      </c>
      <c r="C18" s="6"/>
      <c r="D18" s="6"/>
      <c r="E18" s="6"/>
      <c r="F18" s="6"/>
      <c r="G18" s="6"/>
      <c r="I18" s="6" t="str">
        <f>IFERROR(+'Page 2. IKTVA Schedule'!E40/'Page 2. IKTVA Schedule'!E$13,"NA")</f>
        <v>NA</v>
      </c>
      <c r="J18" s="6" t="str">
        <f>IFERROR(+'Page 2. IKTVA Schedule'!G40/'Page 2. IKTVA Schedule'!G$13,"NA")</f>
        <v>NA</v>
      </c>
      <c r="K18" s="6" t="str">
        <f>IFERROR(+'Page 2. IKTVA Schedule'!I40/'Page 2. IKTVA Schedule'!I$13,"NA")</f>
        <v>NA</v>
      </c>
      <c r="L18" s="6" t="str">
        <f>IFERROR(+'Page 2. IKTVA Schedule'!K40/'Page 2. IKTVA Schedule'!K$13,"NA")</f>
        <v>NA</v>
      </c>
      <c r="M18" s="6" t="str">
        <f>IFERROR(+'Page 2. IKTVA Schedule'!M40/'Page 2. IKTVA Schedule'!M$13,"NA")</f>
        <v>NA</v>
      </c>
    </row>
    <row r="19" spans="1:13" x14ac:dyDescent="0.25">
      <c r="B19" s="2" t="s">
        <v>85</v>
      </c>
      <c r="C19" s="6"/>
      <c r="D19" s="6"/>
      <c r="E19" s="6"/>
      <c r="F19" s="6"/>
      <c r="G19" s="6"/>
      <c r="I19" s="6" t="str">
        <f>IFERROR(+'Page 2. IKTVA Schedule'!E44/'Page 2. IKTVA Schedule'!E$13,"NA")</f>
        <v>NA</v>
      </c>
      <c r="J19" s="6" t="str">
        <f>IFERROR(+'Page 2. IKTVA Schedule'!G44/'Page 2. IKTVA Schedule'!G$13,"NA")</f>
        <v>NA</v>
      </c>
      <c r="K19" s="6" t="str">
        <f>IFERROR(+'Page 2. IKTVA Schedule'!I44/'Page 2. IKTVA Schedule'!I$13,"NA")</f>
        <v>NA</v>
      </c>
      <c r="L19" s="6" t="str">
        <f>IFERROR(+'Page 2. IKTVA Schedule'!K44/'Page 2. IKTVA Schedule'!K$13,"NA")</f>
        <v>NA</v>
      </c>
      <c r="M19" s="6" t="str">
        <f>IFERROR(+'Page 2. IKTVA Schedule'!M44/'Page 2. IKTVA Schedule'!M$13,"NA")</f>
        <v>NA</v>
      </c>
    </row>
    <row r="20" spans="1:13" x14ac:dyDescent="0.25">
      <c r="A20" s="11"/>
      <c r="B20" s="12"/>
      <c r="C20" s="12"/>
      <c r="D20" s="12"/>
      <c r="E20" s="12"/>
      <c r="F20" s="12"/>
      <c r="G20" s="12"/>
      <c r="I20" s="12"/>
      <c r="J20" s="12"/>
      <c r="K20" s="12"/>
      <c r="L20" s="12"/>
      <c r="M20" s="12"/>
    </row>
    <row r="21" spans="1:13" x14ac:dyDescent="0.25">
      <c r="A21" s="3" t="s">
        <v>81</v>
      </c>
    </row>
    <row r="22" spans="1:13" x14ac:dyDescent="0.25">
      <c r="B22" s="2" t="s">
        <v>230</v>
      </c>
      <c r="C22" s="6" t="str">
        <f>IFERROR('Page 2. IKTVA Schedule'!D17/('Page 2. IKTVA Schedule'!D$10+'Page 2. IKTVA Schedule'!D$12),"NA")</f>
        <v>NA</v>
      </c>
      <c r="D22" s="6" t="str">
        <f>IFERROR('Page 2. IKTVA Schedule'!F17/('Page 2. IKTVA Schedule'!F$10+'Page 2. IKTVA Schedule'!F$12),"NA")</f>
        <v>NA</v>
      </c>
      <c r="E22" s="6" t="str">
        <f>IFERROR('Page 2. IKTVA Schedule'!H17/('Page 2. IKTVA Schedule'!H$10+'Page 2. IKTVA Schedule'!H$12),"NA")</f>
        <v>NA</v>
      </c>
      <c r="F22" s="6" t="str">
        <f>IFERROR('Page 2. IKTVA Schedule'!J17/('Page 2. IKTVA Schedule'!J$10+'Page 2. IKTVA Schedule'!J$12),"NA")</f>
        <v>NA</v>
      </c>
      <c r="G22" s="6" t="str">
        <f>IFERROR('Page 2. IKTVA Schedule'!L17/('Page 2. IKTVA Schedule'!L$10+'Page 2. IKTVA Schedule'!L$12),"NA")</f>
        <v>NA</v>
      </c>
      <c r="I22" s="6" t="str">
        <f>IFERROR('Page 2. IKTVA Schedule'!E17/('Page 2. IKTVA Schedule'!E$10+'Page 2. IKTVA Schedule'!E$12),"NA")</f>
        <v>NA</v>
      </c>
      <c r="J22" s="6" t="str">
        <f>IFERROR('Page 2. IKTVA Schedule'!G17/('Page 2. IKTVA Schedule'!G$10+'Page 2. IKTVA Schedule'!G$12),"NA")</f>
        <v>NA</v>
      </c>
      <c r="K22" s="6" t="str">
        <f>IFERROR('Page 2. IKTVA Schedule'!I17/('Page 2. IKTVA Schedule'!I$10+'Page 2. IKTVA Schedule'!I$12),"NA")</f>
        <v>NA</v>
      </c>
      <c r="L22" s="6" t="str">
        <f>IFERROR('Page 2. IKTVA Schedule'!K17/('Page 2. IKTVA Schedule'!K$10+'Page 2. IKTVA Schedule'!K$12),"NA")</f>
        <v>NA</v>
      </c>
      <c r="M22" s="6" t="str">
        <f>IFERROR('Page 2. IKTVA Schedule'!M17/('Page 2. IKTVA Schedule'!M$10+'Page 2. IKTVA Schedule'!M$12),"NA")</f>
        <v>NA</v>
      </c>
    </row>
    <row r="23" spans="1:13" x14ac:dyDescent="0.25">
      <c r="B23" s="2" t="s">
        <v>231</v>
      </c>
      <c r="C23" s="6"/>
      <c r="D23" s="6"/>
      <c r="E23" s="6"/>
      <c r="F23" s="6" t="str">
        <f>IFERROR('Page 2. IKTVA Schedule'!J1/('Page 2. IKTVA Schedule'!J$10+'Page 2. IKTVA Schedule'!J$12),"NA")</f>
        <v>NA</v>
      </c>
      <c r="G23" s="6" t="str">
        <f>IFERROR('Page 2. IKTVA Schedule'!L16/('Page 2. IKTVA Schedule'!L$10+'Page 2. IKTVA Schedule'!L$12),"NA")</f>
        <v>NA</v>
      </c>
      <c r="I23" s="6"/>
      <c r="J23" s="6"/>
      <c r="K23" s="6"/>
      <c r="L23" s="6" t="str">
        <f>IFERROR('Page 2. IKTVA Schedule'!K16/('Page 2. IKTVA Schedule'!K$10+'Page 2. IKTVA Schedule'!K$12),"NA")</f>
        <v>NA</v>
      </c>
      <c r="M23" s="6" t="str">
        <f>IFERROR('Page 2. IKTVA Schedule'!M16/('Page 2. IKTVA Schedule'!M$10+'Page 2. IKTVA Schedule'!M$12),"NA")</f>
        <v>NA</v>
      </c>
    </row>
    <row r="24" spans="1:13" x14ac:dyDescent="0.25">
      <c r="B24" s="2" t="s">
        <v>175</v>
      </c>
      <c r="C24" s="6" t="str">
        <f>IFERROR(+'Page 2. IKTVA Schedule'!D21/('Page 2. IKTVA Schedule'!D$10+'Page 2. IKTVA Schedule'!D$12),"NA")</f>
        <v>NA</v>
      </c>
      <c r="D24" s="6" t="str">
        <f>IFERROR(+'Page 2. IKTVA Schedule'!F21/('Page 2. IKTVA Schedule'!F$10+'Page 2. IKTVA Schedule'!F$12),"NA")</f>
        <v>NA</v>
      </c>
      <c r="E24" s="6" t="str">
        <f>IFERROR(+'Page 2. IKTVA Schedule'!H21/('Page 2. IKTVA Schedule'!H$10+'Page 2. IKTVA Schedule'!H$12),"NA")</f>
        <v>NA</v>
      </c>
      <c r="F24" s="6" t="str">
        <f>IFERROR(+'Page 2. IKTVA Schedule'!J21/('Page 2. IKTVA Schedule'!J$10+'Page 2. IKTVA Schedule'!J$12),"NA")</f>
        <v>NA</v>
      </c>
      <c r="G24" s="6" t="str">
        <f>IFERROR(+'Page 2. IKTVA Schedule'!L21/('Page 2. IKTVA Schedule'!L$10+'Page 2. IKTVA Schedule'!L$12),"NA")</f>
        <v>NA</v>
      </c>
      <c r="I24" s="6" t="str">
        <f>IFERROR(+'Page 2. IKTVA Schedule'!E21/('Page 2. IKTVA Schedule'!E$10+'Page 2. IKTVA Schedule'!E$12),"NA")</f>
        <v>NA</v>
      </c>
      <c r="J24" s="6" t="str">
        <f>IFERROR(+'Page 2. IKTVA Schedule'!G21/('Page 2. IKTVA Schedule'!G$10+'Page 2. IKTVA Schedule'!G$12),"NA")</f>
        <v>NA</v>
      </c>
      <c r="K24" s="6" t="str">
        <f>IFERROR(+'Page 2. IKTVA Schedule'!I21/('Page 2. IKTVA Schedule'!I$10+'Page 2. IKTVA Schedule'!I$12),"NA")</f>
        <v>NA</v>
      </c>
      <c r="L24" s="6" t="str">
        <f>IFERROR(+'Page 2. IKTVA Schedule'!K21/('Page 2. IKTVA Schedule'!K$10+'Page 2. IKTVA Schedule'!K$12),"NA")</f>
        <v>NA</v>
      </c>
      <c r="M24" s="6" t="str">
        <f>IFERROR(+'Page 2. IKTVA Schedule'!M21/('Page 2. IKTVA Schedule'!M$10+'Page 2. IKTVA Schedule'!M$12),"NA")</f>
        <v>NA</v>
      </c>
    </row>
    <row r="25" spans="1:13" x14ac:dyDescent="0.25">
      <c r="B25" s="2" t="s">
        <v>46</v>
      </c>
      <c r="C25" s="6" t="str">
        <f>IFERROR(+'Page 2. IKTVA Schedule'!D25/('Page 2. IKTVA Schedule'!D$10+'Page 2. IKTVA Schedule'!D$12),"NA")</f>
        <v>NA</v>
      </c>
      <c r="D25" s="6" t="str">
        <f>IFERROR(+'Page 2. IKTVA Schedule'!F25/('Page 2. IKTVA Schedule'!F$10+'Page 2. IKTVA Schedule'!F$12),"NA")</f>
        <v>NA</v>
      </c>
      <c r="E25" s="6" t="str">
        <f>IFERROR(+'Page 2. IKTVA Schedule'!H25/('Page 2. IKTVA Schedule'!H$10+'Page 2. IKTVA Schedule'!H$12),"NA")</f>
        <v>NA</v>
      </c>
      <c r="F25" s="6" t="str">
        <f>IFERROR(+'Page 2. IKTVA Schedule'!J25/('Page 2. IKTVA Schedule'!J$10+'Page 2. IKTVA Schedule'!J$12),"NA")</f>
        <v>NA</v>
      </c>
      <c r="G25" s="6" t="str">
        <f>IFERROR(+'Page 2. IKTVA Schedule'!L25/('Page 2. IKTVA Schedule'!L$10+'Page 2. IKTVA Schedule'!L$12),"NA")</f>
        <v>NA</v>
      </c>
      <c r="I25" s="6" t="str">
        <f>IFERROR(+'Page 2. IKTVA Schedule'!E25/('Page 2. IKTVA Schedule'!E$10+'Page 2. IKTVA Schedule'!E$12),"NA")</f>
        <v>NA</v>
      </c>
      <c r="J25" s="6" t="str">
        <f>IFERROR(+'Page 2. IKTVA Schedule'!G25/('Page 2. IKTVA Schedule'!G$10+'Page 2. IKTVA Schedule'!G$12),"NA")</f>
        <v>NA</v>
      </c>
      <c r="K25" s="6" t="str">
        <f>IFERROR(+'Page 2. IKTVA Schedule'!I25/('Page 2. IKTVA Schedule'!I$10+'Page 2. IKTVA Schedule'!I$12),"NA")</f>
        <v>NA</v>
      </c>
      <c r="L25" s="6" t="str">
        <f>IFERROR(+'Page 2. IKTVA Schedule'!K25/('Page 2. IKTVA Schedule'!K$10+'Page 2. IKTVA Schedule'!K$12),"NA")</f>
        <v>NA</v>
      </c>
      <c r="M25" s="6" t="str">
        <f>IFERROR(+'Page 2. IKTVA Schedule'!M25/('Page 2. IKTVA Schedule'!M$10+'Page 2. IKTVA Schedule'!M$12),"NA")</f>
        <v>NA</v>
      </c>
    </row>
    <row r="26" spans="1:13" x14ac:dyDescent="0.25">
      <c r="B26" s="2" t="s">
        <v>31</v>
      </c>
      <c r="C26" s="6" t="str">
        <f>IFERROR(+'Page 2. IKTVA Schedule'!D27/('Page 2. IKTVA Schedule'!D$10+'Page 2. IKTVA Schedule'!D$12),"NA")</f>
        <v>NA</v>
      </c>
      <c r="D26" s="6" t="str">
        <f>IFERROR(+'Page 2. IKTVA Schedule'!F27/('Page 2. IKTVA Schedule'!F$10+'Page 2. IKTVA Schedule'!F$12),"NA")</f>
        <v>NA</v>
      </c>
      <c r="E26" s="6" t="str">
        <f>IFERROR(+'Page 2. IKTVA Schedule'!H27/('Page 2. IKTVA Schedule'!H$10+'Page 2. IKTVA Schedule'!H$12),"NA")</f>
        <v>NA</v>
      </c>
      <c r="F26" s="6" t="str">
        <f>IFERROR(+'Page 2. IKTVA Schedule'!J27/('Page 2. IKTVA Schedule'!J$10+'Page 2. IKTVA Schedule'!J$12),"NA")</f>
        <v>NA</v>
      </c>
      <c r="G26" s="6" t="str">
        <f>IFERROR(+'Page 2. IKTVA Schedule'!L27/('Page 2. IKTVA Schedule'!L$10+'Page 2. IKTVA Schedule'!L$12),"NA")</f>
        <v>NA</v>
      </c>
      <c r="I26" s="6" t="str">
        <f>IFERROR(+'Page 2. IKTVA Schedule'!E27/('Page 2. IKTVA Schedule'!E$10+'Page 2. IKTVA Schedule'!E$12),"NA")</f>
        <v>NA</v>
      </c>
      <c r="J26" s="6" t="str">
        <f>IFERROR(+'Page 2. IKTVA Schedule'!G27/('Page 2. IKTVA Schedule'!G$10+'Page 2. IKTVA Schedule'!G$12),"NA")</f>
        <v>NA</v>
      </c>
      <c r="K26" s="6" t="str">
        <f>IFERROR(+'Page 2. IKTVA Schedule'!I27/('Page 2. IKTVA Schedule'!I$10+'Page 2. IKTVA Schedule'!I$12),"NA")</f>
        <v>NA</v>
      </c>
      <c r="L26" s="6" t="str">
        <f>IFERROR(+'Page 2. IKTVA Schedule'!K27/('Page 2. IKTVA Schedule'!K$10+'Page 2. IKTVA Schedule'!K$12),"NA")</f>
        <v>NA</v>
      </c>
      <c r="M26" s="6" t="str">
        <f>IFERROR(+'Page 2. IKTVA Schedule'!M27/('Page 2. IKTVA Schedule'!M$10+'Page 2. IKTVA Schedule'!M$12),"NA")</f>
        <v>NA</v>
      </c>
    </row>
    <row r="27" spans="1:13" x14ac:dyDescent="0.25">
      <c r="B27" s="2" t="s">
        <v>57</v>
      </c>
      <c r="C27" s="6" t="str">
        <f>IFERROR(+'Page 2. IKTVA Schedule'!D29/('Page 2. IKTVA Schedule'!D$10+'Page 2. IKTVA Schedule'!D$12),"NA")</f>
        <v>NA</v>
      </c>
      <c r="D27" s="6" t="str">
        <f>IFERROR(+'Page 2. IKTVA Schedule'!F29/('Page 2. IKTVA Schedule'!F$10+'Page 2. IKTVA Schedule'!F$12),"NA")</f>
        <v>NA</v>
      </c>
      <c r="E27" s="6" t="str">
        <f>IFERROR(+'Page 2. IKTVA Schedule'!H29/('Page 2. IKTVA Schedule'!H$10+'Page 2. IKTVA Schedule'!H$12),"NA")</f>
        <v>NA</v>
      </c>
      <c r="F27" s="6" t="str">
        <f>IFERROR(+'Page 2. IKTVA Schedule'!J29/('Page 2. IKTVA Schedule'!J$10+'Page 2. IKTVA Schedule'!J$12),"NA")</f>
        <v>NA</v>
      </c>
      <c r="G27" s="6" t="str">
        <f>IFERROR(+'Page 2. IKTVA Schedule'!L29/('Page 2. IKTVA Schedule'!L$10+'Page 2. IKTVA Schedule'!L$12),"NA")</f>
        <v>NA</v>
      </c>
      <c r="I27" s="6" t="str">
        <f>IFERROR(+'Page 2. IKTVA Schedule'!E29/('Page 2. IKTVA Schedule'!E$10+'Page 2. IKTVA Schedule'!E$12),"NA")</f>
        <v>NA</v>
      </c>
      <c r="J27" s="6" t="str">
        <f>IFERROR(+'Page 2. IKTVA Schedule'!G29/('Page 2. IKTVA Schedule'!G$10+'Page 2. IKTVA Schedule'!G$12),"NA")</f>
        <v>NA</v>
      </c>
      <c r="K27" s="6" t="str">
        <f>IFERROR(+'Page 2. IKTVA Schedule'!I29/('Page 2. IKTVA Schedule'!I$10+'Page 2. IKTVA Schedule'!I$12),"NA")</f>
        <v>NA</v>
      </c>
      <c r="L27" s="6" t="str">
        <f>IFERROR(+'Page 2. IKTVA Schedule'!K29/('Page 2. IKTVA Schedule'!K$10+'Page 2. IKTVA Schedule'!K$12),"NA")</f>
        <v>NA</v>
      </c>
      <c r="M27" s="6" t="str">
        <f>IFERROR(+'Page 2. IKTVA Schedule'!M29/('Page 2. IKTVA Schedule'!M$10+'Page 2. IKTVA Schedule'!M$12),"NA")</f>
        <v>NA</v>
      </c>
    </row>
    <row r="28" spans="1:13" ht="5.0999999999999996" customHeight="1" x14ac:dyDescent="0.25">
      <c r="C28" s="6"/>
      <c r="D28" s="6"/>
      <c r="E28" s="6"/>
      <c r="F28" s="6"/>
      <c r="G28" s="6"/>
      <c r="I28" s="6"/>
      <c r="J28" s="6"/>
      <c r="K28" s="6"/>
      <c r="L28" s="6"/>
      <c r="M28" s="6"/>
    </row>
    <row r="29" spans="1:13" x14ac:dyDescent="0.25">
      <c r="B29" s="2" t="s">
        <v>84</v>
      </c>
      <c r="C29" s="6"/>
      <c r="D29" s="6"/>
      <c r="E29" s="6"/>
      <c r="F29" s="6"/>
      <c r="G29" s="6"/>
      <c r="I29" s="6" t="str">
        <f>IFERROR(+'Page 2. IKTVA Schedule'!E40/('Page 2. IKTVA Schedule'!E$10+'Page 2. IKTVA Schedule'!E$12),"NA")</f>
        <v>NA</v>
      </c>
      <c r="J29" s="6" t="str">
        <f>IFERROR(+'Page 2. IKTVA Schedule'!G40/('Page 2. IKTVA Schedule'!G$10+'Page 2. IKTVA Schedule'!G$12),"NA")</f>
        <v>NA</v>
      </c>
      <c r="K29" s="6" t="str">
        <f>IFERROR(+'Page 2. IKTVA Schedule'!I40/('Page 2. IKTVA Schedule'!I$10+'Page 2. IKTVA Schedule'!I$12),"NA")</f>
        <v>NA</v>
      </c>
      <c r="L29" s="6" t="str">
        <f>IFERROR(+'Page 2. IKTVA Schedule'!K40/('Page 2. IKTVA Schedule'!K$10+'Page 2. IKTVA Schedule'!K$12),"NA")</f>
        <v>NA</v>
      </c>
      <c r="M29" s="6" t="str">
        <f>IFERROR(+'Page 2. IKTVA Schedule'!M40/('Page 2. IKTVA Schedule'!M$10+'Page 2. IKTVA Schedule'!M$12),"NA")</f>
        <v>NA</v>
      </c>
    </row>
    <row r="30" spans="1:13" x14ac:dyDescent="0.25">
      <c r="B30" s="2" t="s">
        <v>85</v>
      </c>
      <c r="C30" s="6"/>
      <c r="D30" s="6"/>
      <c r="E30" s="6"/>
      <c r="F30" s="6"/>
      <c r="G30" s="6"/>
      <c r="I30" s="6" t="str">
        <f>IFERROR(+'Page 2. IKTVA Schedule'!E44/('Page 2. IKTVA Schedule'!E$10+'Page 2. IKTVA Schedule'!E$12),"NA")</f>
        <v>NA</v>
      </c>
      <c r="J30" s="6" t="str">
        <f>IFERROR(+'Page 2. IKTVA Schedule'!G44/('Page 2. IKTVA Schedule'!G$10+'Page 2. IKTVA Schedule'!G$12),"NA")</f>
        <v>NA</v>
      </c>
      <c r="K30" s="6" t="str">
        <f>IFERROR(+'Page 2. IKTVA Schedule'!I44/('Page 2. IKTVA Schedule'!I$10+'Page 2. IKTVA Schedule'!I$12),"NA")</f>
        <v>NA</v>
      </c>
      <c r="L30" s="6" t="str">
        <f>IFERROR(+'Page 2. IKTVA Schedule'!K44/('Page 2. IKTVA Schedule'!K$10+'Page 2. IKTVA Schedule'!K$12),"NA")</f>
        <v>NA</v>
      </c>
      <c r="M30" s="6" t="str">
        <f>IFERROR(+'Page 2. IKTVA Schedule'!M44/('Page 2. IKTVA Schedule'!M$10+'Page 2. IKTVA Schedule'!M$12),"NA")</f>
        <v>NA</v>
      </c>
    </row>
    <row r="31" spans="1:13" x14ac:dyDescent="0.25">
      <c r="A31" s="11"/>
      <c r="B31" s="12"/>
      <c r="C31" s="12"/>
      <c r="D31" s="12"/>
      <c r="E31" s="12"/>
      <c r="F31" s="12"/>
      <c r="G31" s="12"/>
      <c r="I31" s="12"/>
      <c r="J31" s="12"/>
      <c r="K31" s="12"/>
      <c r="L31" s="12"/>
      <c r="M31" s="12"/>
    </row>
    <row r="32" spans="1:13" x14ac:dyDescent="0.25">
      <c r="A32" s="3" t="s">
        <v>88</v>
      </c>
    </row>
    <row r="33" spans="1:13" x14ac:dyDescent="0.25">
      <c r="B33" s="2" t="s">
        <v>30</v>
      </c>
      <c r="C33" s="7" t="str">
        <f>IFERROR(IF(ROUND('Page 2. IKTVA Schedule'!D$10/('Page 2. IKTVA Schedule'!E$10+'Page 2. IKTVA Schedule'!E$12),2)=ROUND('Page 2. IKTVA Schedule'!D15/'Page 2. IKTVA Schedule'!E15,2),"Yes","No"),"NA")</f>
        <v>NA</v>
      </c>
      <c r="D33" s="7" t="str">
        <f>IFERROR(IF(ROUND('Page 2. IKTVA Schedule'!F$10/('Page 2. IKTVA Schedule'!G$10+'Page 2. IKTVA Schedule'!G$12),2)=ROUND('Page 2. IKTVA Schedule'!F15/'Page 2. IKTVA Schedule'!G15,2),"Yes","No"),"NA")</f>
        <v>NA</v>
      </c>
      <c r="E33" s="7" t="str">
        <f>IFERROR(IF(ROUND('Page 2. IKTVA Schedule'!H$10/('Page 2. IKTVA Schedule'!I$10+'Page 2. IKTVA Schedule'!I$12),2)=ROUND('Page 2. IKTVA Schedule'!H15/'Page 2. IKTVA Schedule'!I15,2),"Yes","No"),"NA")</f>
        <v>NA</v>
      </c>
      <c r="F33" s="7" t="str">
        <f>IFERROR(IF(ROUND('Page 2. IKTVA Schedule'!J$10/('Page 2. IKTVA Schedule'!K$10+'Page 2. IKTVA Schedule'!K$12),2)=ROUND('Page 2. IKTVA Schedule'!J15/'Page 2. IKTVA Schedule'!K15,2),"Yes","No"),"NA")</f>
        <v>NA</v>
      </c>
      <c r="G33" s="7" t="str">
        <f>IFERROR(IF(ROUND('Page 2. IKTVA Schedule'!L$10/('Page 2. IKTVA Schedule'!M$10+'Page 2. IKTVA Schedule'!M$12),2)=ROUND('Page 2. IKTVA Schedule'!L15/'Page 2. IKTVA Schedule'!M15,2),"Yes","No"),"NA")</f>
        <v>NA</v>
      </c>
    </row>
    <row r="34" spans="1:13" x14ac:dyDescent="0.25">
      <c r="B34" s="2" t="s">
        <v>232</v>
      </c>
      <c r="C34" s="7"/>
      <c r="D34" s="7"/>
      <c r="E34" s="7"/>
      <c r="F34" s="7" t="str">
        <f>IFERROR(IF(ROUND('Page 2. IKTVA Schedule'!J$10/('Page 2. IKTVA Schedule'!K$10+'Page 2. IKTVA Schedule'!K$12),2)=ROUND('Page 2. IKTVA Schedule'!J16/'Page 2. IKTVA Schedule'!K16,2),"Yes","No"),"NA")</f>
        <v>NA</v>
      </c>
      <c r="G34" s="7" t="str">
        <f>IFERROR(IF(ROUND('Page 2. IKTVA Schedule'!L$10/('Page 2. IKTVA Schedule'!M$10+'Page 2. IKTVA Schedule'!M$12),2)=ROUND('Page 2. IKTVA Schedule'!L16/'Page 2. IKTVA Schedule'!M16,2),"Yes","No"),"NA")</f>
        <v>NA</v>
      </c>
    </row>
    <row r="35" spans="1:13" x14ac:dyDescent="0.25">
      <c r="B35" s="2" t="s">
        <v>32</v>
      </c>
      <c r="C35" s="7" t="str">
        <f>IFERROR(IF(ROUND('Page 2. IKTVA Schedule'!D$10/('Page 2. IKTVA Schedule'!E$10+'Page 2. IKTVA Schedule'!E$12),2)=ROUND('Page 2. IKTVA Schedule'!D19/'Page 2. IKTVA Schedule'!E19,2),"Yes","No"),"NA")</f>
        <v>NA</v>
      </c>
      <c r="D35" s="7" t="str">
        <f>IFERROR(IF(ROUND('Page 2. IKTVA Schedule'!F$10/('Page 2. IKTVA Schedule'!G$10+'Page 2. IKTVA Schedule'!G$12),2)=ROUND('Page 2. IKTVA Schedule'!F19/'Page 2. IKTVA Schedule'!G19,2),"Yes","No"),"NA")</f>
        <v>NA</v>
      </c>
      <c r="E35" s="7" t="str">
        <f>IFERROR(IF(ROUND('Page 2. IKTVA Schedule'!H$10/('Page 2. IKTVA Schedule'!I$10+'Page 2. IKTVA Schedule'!I$12),2)=ROUND('Page 2. IKTVA Schedule'!H19/'Page 2. IKTVA Schedule'!I19,2),"Yes","No"),"NA")</f>
        <v>NA</v>
      </c>
      <c r="F35" s="7" t="str">
        <f>IFERROR(IF(ROUND('Page 2. IKTVA Schedule'!J$10/('Page 2. IKTVA Schedule'!K$10+'Page 2. IKTVA Schedule'!K$12),2)=ROUND('Page 2. IKTVA Schedule'!J19/'Page 2. IKTVA Schedule'!K19,2),"Yes","No"),"NA")</f>
        <v>NA</v>
      </c>
      <c r="G35" s="7" t="str">
        <f>IFERROR(IF(ROUND('Page 2. IKTVA Schedule'!L$10/('Page 2. IKTVA Schedule'!M$10+'Page 2. IKTVA Schedule'!M$12),2)=ROUND('Page 2. IKTVA Schedule'!L19/'Page 2. IKTVA Schedule'!M19,2),"Yes","No"),"NA")</f>
        <v>NA</v>
      </c>
    </row>
    <row r="36" spans="1:13" x14ac:dyDescent="0.25">
      <c r="B36" s="2" t="s">
        <v>33</v>
      </c>
      <c r="C36" s="7" t="str">
        <f>IFERROR(IF(ROUND('Page 2. IKTVA Schedule'!D$10/('Page 2. IKTVA Schedule'!E$10+'Page 2. IKTVA Schedule'!E$12),2)=ROUND('Page 2. IKTVA Schedule'!D21/'Page 2. IKTVA Schedule'!E21,2),"Yes","No"),"NA")</f>
        <v>NA</v>
      </c>
      <c r="D36" s="7" t="str">
        <f>IFERROR(IF(ROUND('Page 2. IKTVA Schedule'!F$10/('Page 2. IKTVA Schedule'!G$10+'Page 2. IKTVA Schedule'!G$12),2)=ROUND('Page 2. IKTVA Schedule'!F21/'Page 2. IKTVA Schedule'!G21,2),"Yes","No"),"NA")</f>
        <v>NA</v>
      </c>
      <c r="E36" s="7" t="str">
        <f>IFERROR(IF(ROUND('Page 2. IKTVA Schedule'!H$10/('Page 2. IKTVA Schedule'!I$10+'Page 2. IKTVA Schedule'!I$12),2)=ROUND('Page 2. IKTVA Schedule'!H21/'Page 2. IKTVA Schedule'!I21,2),"Yes","No"),"NA")</f>
        <v>NA</v>
      </c>
      <c r="F36" s="7" t="str">
        <f>IFERROR(IF(ROUND('Page 2. IKTVA Schedule'!J$10/('Page 2. IKTVA Schedule'!K$10+'Page 2. IKTVA Schedule'!K$12),2)=ROUND('Page 2. IKTVA Schedule'!J21/'Page 2. IKTVA Schedule'!K21,2),"Yes","No"),"NA")</f>
        <v>NA</v>
      </c>
      <c r="G36" s="7" t="str">
        <f>IFERROR(IF(ROUND('Page 2. IKTVA Schedule'!L$10/('Page 2. IKTVA Schedule'!M$10+'Page 2. IKTVA Schedule'!M$12),2)=ROUND('Page 2. IKTVA Schedule'!L21/'Page 2. IKTVA Schedule'!M21,2),"Yes","No"),"NA")</f>
        <v>NA</v>
      </c>
    </row>
    <row r="37" spans="1:13" x14ac:dyDescent="0.25">
      <c r="B37" s="2" t="s">
        <v>12</v>
      </c>
      <c r="C37" s="7" t="str">
        <f>IFERROR(IF(ROUND('Page 2. IKTVA Schedule'!D$10/('Page 2. IKTVA Schedule'!E$10+'Page 2. IKTVA Schedule'!E$12),2)=ROUND('Page 2. IKTVA Schedule'!D25/'Page 2. IKTVA Schedule'!E25,2),"Yes","No"),"NA")</f>
        <v>NA</v>
      </c>
      <c r="D37" s="7" t="str">
        <f>IFERROR(IF(ROUND('Page 2. IKTVA Schedule'!F$10/('Page 2. IKTVA Schedule'!G$10+'Page 2. IKTVA Schedule'!G$12),2)=ROUND('Page 2. IKTVA Schedule'!F25/'Page 2. IKTVA Schedule'!G25,2),"Yes","No"),"NA")</f>
        <v>NA</v>
      </c>
      <c r="E37" s="7" t="str">
        <f>IFERROR(IF(ROUND('Page 2. IKTVA Schedule'!H$10/('Page 2. IKTVA Schedule'!I$10+'Page 2. IKTVA Schedule'!I$12),2)=ROUND('Page 2. IKTVA Schedule'!H25/'Page 2. IKTVA Schedule'!I25,2),"Yes","No"),"NA")</f>
        <v>NA</v>
      </c>
      <c r="F37" s="7" t="str">
        <f>IFERROR(IF(ROUND('Page 2. IKTVA Schedule'!J$10/('Page 2. IKTVA Schedule'!K$10+'Page 2. IKTVA Schedule'!K$12),2)=ROUND('Page 2. IKTVA Schedule'!J25/'Page 2. IKTVA Schedule'!K25,2),"Yes","No"),"NA")</f>
        <v>NA</v>
      </c>
      <c r="G37" s="7" t="str">
        <f>IFERROR(IF(ROUND('Page 2. IKTVA Schedule'!L$10/('Page 2. IKTVA Schedule'!M$10+'Page 2. IKTVA Schedule'!M$12),2)=ROUND('Page 2. IKTVA Schedule'!L25/'Page 2. IKTVA Schedule'!M25,2),"Yes","No"),"NA")</f>
        <v>NA</v>
      </c>
    </row>
    <row r="38" spans="1:13" x14ac:dyDescent="0.25">
      <c r="B38" s="2" t="s">
        <v>34</v>
      </c>
      <c r="C38" s="7" t="str">
        <f>IFERROR(IF(ROUND('Page 2. IKTVA Schedule'!D$10/('Page 2. IKTVA Schedule'!E$10+'Page 2. IKTVA Schedule'!E$12),2)=ROUND('Page 2. IKTVA Schedule'!D27/'Page 2. IKTVA Schedule'!E27,2),"Yes","No"),"NA")</f>
        <v>NA</v>
      </c>
      <c r="D38" s="7" t="str">
        <f>IFERROR(IF(ROUND('Page 2. IKTVA Schedule'!F$10/('Page 2. IKTVA Schedule'!G$10+'Page 2. IKTVA Schedule'!G$12),2)=ROUND('Page 2. IKTVA Schedule'!F27/'Page 2. IKTVA Schedule'!G27,2),"Yes","No"),"NA")</f>
        <v>NA</v>
      </c>
      <c r="E38" s="7" t="str">
        <f>IFERROR(IF(ROUND('Page 2. IKTVA Schedule'!H$10/('Page 2. IKTVA Schedule'!I$10+'Page 2. IKTVA Schedule'!I$12),2)=ROUND('Page 2. IKTVA Schedule'!H27/'Page 2. IKTVA Schedule'!I27,2),"Yes","No"),"NA")</f>
        <v>NA</v>
      </c>
      <c r="F38" s="7" t="str">
        <f>IFERROR(IF(ROUND('Page 2. IKTVA Schedule'!J$10/('Page 2. IKTVA Schedule'!K$10+'Page 2. IKTVA Schedule'!K$12),2)=ROUND('Page 2. IKTVA Schedule'!J27/'Page 2. IKTVA Schedule'!K27,2),"Yes","No"),"NA")</f>
        <v>NA</v>
      </c>
      <c r="G38" s="7" t="str">
        <f>IFERROR(IF(ROUND('Page 2. IKTVA Schedule'!L$10/('Page 2. IKTVA Schedule'!M$10+'Page 2. IKTVA Schedule'!M$12),2)=ROUND('Page 2. IKTVA Schedule'!L27/'Page 2. IKTVA Schedule'!M27,2),"Yes","No"),"NA")</f>
        <v>NA</v>
      </c>
    </row>
    <row r="39" spans="1:13" x14ac:dyDescent="0.25">
      <c r="B39" s="2" t="s">
        <v>57</v>
      </c>
      <c r="C39" s="7" t="str">
        <f>IFERROR(IF(ROUND('Page 2. IKTVA Schedule'!D$10/('Page 2. IKTVA Schedule'!E$10+'Page 2. IKTVA Schedule'!E$12),2)=ROUND('Page 2. IKTVA Schedule'!D29/'Page 2. IKTVA Schedule'!E29,2),"Yes","No"),"NA")</f>
        <v>NA</v>
      </c>
      <c r="D39" s="7" t="str">
        <f>IFERROR(IF(ROUND('Page 2. IKTVA Schedule'!F$10/('Page 2. IKTVA Schedule'!G$10+'Page 2. IKTVA Schedule'!G$12),2)=ROUND('Page 2. IKTVA Schedule'!F29/'Page 2. IKTVA Schedule'!G29,2),"Yes","No"),"NA")</f>
        <v>NA</v>
      </c>
      <c r="E39" s="7" t="str">
        <f>IFERROR(IF(ROUND('Page 2. IKTVA Schedule'!H$10/('Page 2. IKTVA Schedule'!I$10+'Page 2. IKTVA Schedule'!I$12),2)=ROUND('Page 2. IKTVA Schedule'!H29/'Page 2. IKTVA Schedule'!I29,2),"Yes","No"),"NA")</f>
        <v>NA</v>
      </c>
      <c r="F39" s="7" t="str">
        <f>IFERROR(IF(ROUND('Page 2. IKTVA Schedule'!J$10/('Page 2. IKTVA Schedule'!K$10+'Page 2. IKTVA Schedule'!K$12),2)=ROUND('Page 2. IKTVA Schedule'!J29/'Page 2. IKTVA Schedule'!K29,2),"Yes","No"),"NA")</f>
        <v>NA</v>
      </c>
      <c r="G39" s="7" t="str">
        <f>IFERROR(IF(ROUND('Page 2. IKTVA Schedule'!L$10/('Page 2. IKTVA Schedule'!M$10+'Page 2. IKTVA Schedule'!M$12),2)=ROUND('Page 2. IKTVA Schedule'!L29/'Page 2. IKTVA Schedule'!M29,2),"Yes","No"),"NA")</f>
        <v>NA</v>
      </c>
    </row>
    <row r="40" spans="1:13" x14ac:dyDescent="0.25">
      <c r="A40" s="11"/>
      <c r="B40" s="12"/>
      <c r="C40" s="12"/>
      <c r="D40" s="12"/>
      <c r="E40" s="12"/>
      <c r="F40" s="12"/>
      <c r="G40" s="12"/>
      <c r="I40" s="12"/>
      <c r="J40" s="12"/>
      <c r="K40" s="12"/>
      <c r="L40" s="12"/>
      <c r="M40" s="12"/>
    </row>
    <row r="41" spans="1:13" x14ac:dyDescent="0.25">
      <c r="A41" s="3" t="s">
        <v>35</v>
      </c>
    </row>
    <row r="42" spans="1:13" x14ac:dyDescent="0.25">
      <c r="B42" s="2" t="s">
        <v>36</v>
      </c>
      <c r="C42" s="6"/>
      <c r="D42" s="6" t="str">
        <f>IFERROR('Page 2. IKTVA Schedule'!F13/'Page 2. IKTVA Schedule'!D13-1,"NA")</f>
        <v>NA</v>
      </c>
      <c r="E42" s="6" t="str">
        <f>IFERROR('Page 2. IKTVA Schedule'!H13/'Page 2. IKTVA Schedule'!F13-1,"NA")</f>
        <v>NA</v>
      </c>
      <c r="F42" s="6" t="str">
        <f>IFERROR('Page 2. IKTVA Schedule'!J13/'Page 2. IKTVA Schedule'!H13-1,"NA")</f>
        <v>NA</v>
      </c>
      <c r="G42" s="6" t="str">
        <f>IFERROR('Page 2. IKTVA Schedule'!L13/'Page 2. IKTVA Schedule'!J13-1,"NA")</f>
        <v>NA</v>
      </c>
      <c r="J42" s="6" t="str">
        <f>IFERROR('Page 2. IKTVA Schedule'!G13/'Page 2. IKTVA Schedule'!E$13-1,"NA")</f>
        <v>NA</v>
      </c>
      <c r="K42" s="6" t="str">
        <f>IFERROR('Page 2. IKTVA Schedule'!I13/'Page 2. IKTVA Schedule'!G$13-1,"NA")</f>
        <v>NA</v>
      </c>
      <c r="L42" s="6" t="str">
        <f>IFERROR('Page 2. IKTVA Schedule'!K13/'Page 2. IKTVA Schedule'!I$13-1,"NA")</f>
        <v>NA</v>
      </c>
      <c r="M42" s="6" t="str">
        <f>IFERROR('Page 2. IKTVA Schedule'!M13/'Page 2. IKTVA Schedule'!K$13-1,"NA")</f>
        <v>NA</v>
      </c>
    </row>
    <row r="43" spans="1:13" x14ac:dyDescent="0.25">
      <c r="B43" s="2" t="s">
        <v>30</v>
      </c>
      <c r="C43" s="6"/>
      <c r="D43" s="6" t="str">
        <f>IFERROR('Page 2. IKTVA Schedule'!F17/'Page 2. IKTVA Schedule'!D17-1,"NA")</f>
        <v>NA</v>
      </c>
      <c r="E43" s="6" t="str">
        <f>IFERROR('Page 2. IKTVA Schedule'!H17/'Page 2. IKTVA Schedule'!F17-1,"NA")</f>
        <v>NA</v>
      </c>
      <c r="F43" s="6" t="str">
        <f>IFERROR('Page 2. IKTVA Schedule'!J17/'Page 2. IKTVA Schedule'!H17-1,"NA")</f>
        <v>NA</v>
      </c>
      <c r="G43" s="6" t="str">
        <f>IFERROR('Page 2. IKTVA Schedule'!L17/'Page 2. IKTVA Schedule'!J17-1,"NA")</f>
        <v>NA</v>
      </c>
      <c r="J43" s="6" t="str">
        <f>IFERROR('Page 2. IKTVA Schedule'!G17/'Page 2. IKTVA Schedule'!E$17-1,"NA")</f>
        <v>NA</v>
      </c>
      <c r="K43" s="6" t="str">
        <f>IFERROR('Page 2. IKTVA Schedule'!I17/'Page 2. IKTVA Schedule'!G$17-1,"NA")</f>
        <v>NA</v>
      </c>
      <c r="L43" s="6" t="str">
        <f>IFERROR('Page 2. IKTVA Schedule'!K17/'Page 2. IKTVA Schedule'!I$17-1,"NA")</f>
        <v>NA</v>
      </c>
      <c r="M43" s="6" t="str">
        <f>IFERROR('Page 2. IKTVA Schedule'!M17/'Page 2. IKTVA Schedule'!K$17-1,"NA")</f>
        <v>NA</v>
      </c>
    </row>
    <row r="44" spans="1:13" x14ac:dyDescent="0.25">
      <c r="B44" s="2" t="s">
        <v>83</v>
      </c>
      <c r="C44" s="6"/>
      <c r="D44" s="6" t="str">
        <f>IFERROR('Page 2. IKTVA Schedule'!F19/'Page 2. IKTVA Schedule'!D19-1,"NA")</f>
        <v>NA</v>
      </c>
      <c r="E44" s="6" t="str">
        <f>IFERROR('Page 2. IKTVA Schedule'!H19/'Page 2. IKTVA Schedule'!F19-1,"NA")</f>
        <v>NA</v>
      </c>
      <c r="F44" s="6" t="str">
        <f>IFERROR('Page 2. IKTVA Schedule'!J19/'Page 2. IKTVA Schedule'!H19-1,"NA")</f>
        <v>NA</v>
      </c>
      <c r="G44" s="6" t="str">
        <f>IFERROR('Page 2. IKTVA Schedule'!L19/'Page 2. IKTVA Schedule'!J19-1,"NA")</f>
        <v>NA</v>
      </c>
      <c r="J44" s="6" t="str">
        <f>IFERROR('Page 2. IKTVA Schedule'!G19/'Page 2. IKTVA Schedule'!E$19-1,"NA")</f>
        <v>NA</v>
      </c>
      <c r="K44" s="6" t="str">
        <f>IFERROR('Page 2. IKTVA Schedule'!I19/'Page 2. IKTVA Schedule'!G$19-1,"NA")</f>
        <v>NA</v>
      </c>
      <c r="L44" s="6" t="str">
        <f>IFERROR('Page 2. IKTVA Schedule'!K19/'Page 2. IKTVA Schedule'!I$19-1,"NA")</f>
        <v>NA</v>
      </c>
      <c r="M44" s="6" t="str">
        <f>IFERROR('Page 2. IKTVA Schedule'!M19/'Page 2. IKTVA Schedule'!K$19-1,"NA")</f>
        <v>NA</v>
      </c>
    </row>
    <row r="45" spans="1:13" x14ac:dyDescent="0.25">
      <c r="B45" s="2" t="s">
        <v>82</v>
      </c>
      <c r="C45" s="6"/>
      <c r="D45" s="6"/>
      <c r="E45" s="6"/>
      <c r="F45" s="6"/>
      <c r="G45" s="6"/>
      <c r="J45" s="6" t="str">
        <f>IFERROR('Page 2. IKTVA Schedule'!G20/'Page 2. IKTVA Schedule'!E$20-1,"NA")</f>
        <v>NA</v>
      </c>
      <c r="K45" s="6" t="str">
        <f>IFERROR('Page 2. IKTVA Schedule'!I20/'Page 2. IKTVA Schedule'!G$20-1,"NA")</f>
        <v>NA</v>
      </c>
      <c r="L45" s="6" t="str">
        <f>IFERROR('Page 2. IKTVA Schedule'!K20/'Page 2. IKTVA Schedule'!I$20-1,"NA")</f>
        <v>NA</v>
      </c>
      <c r="M45" s="6" t="str">
        <f>IFERROR('Page 2. IKTVA Schedule'!M20/'Page 2. IKTVA Schedule'!K$20-1,"NA")</f>
        <v>NA</v>
      </c>
    </row>
    <row r="46" spans="1:13" x14ac:dyDescent="0.25">
      <c r="B46" s="2" t="s">
        <v>37</v>
      </c>
      <c r="C46" s="6"/>
      <c r="D46" s="6" t="str">
        <f>IFERROR('Page 2. IKTVA Schedule'!F21/'Page 2. IKTVA Schedule'!D21-1,"NA")</f>
        <v>NA</v>
      </c>
      <c r="E46" s="6" t="str">
        <f>IFERROR('Page 2. IKTVA Schedule'!H21/'Page 2. IKTVA Schedule'!F21-1,"NA")</f>
        <v>NA</v>
      </c>
      <c r="F46" s="6" t="str">
        <f>IFERROR('Page 2. IKTVA Schedule'!J21/'Page 2. IKTVA Schedule'!H21-1,"NA")</f>
        <v>NA</v>
      </c>
      <c r="G46" s="6" t="str">
        <f>IFERROR('Page 2. IKTVA Schedule'!L21/'Page 2. IKTVA Schedule'!J21-1,"NA")</f>
        <v>NA</v>
      </c>
      <c r="J46" s="6" t="str">
        <f>IFERROR('Page 2. IKTVA Schedule'!G21/'Page 2. IKTVA Schedule'!E$21-1,"NA")</f>
        <v>NA</v>
      </c>
      <c r="K46" s="6" t="str">
        <f>IFERROR('Page 2. IKTVA Schedule'!I21/'Page 2. IKTVA Schedule'!G$21-1,"NA")</f>
        <v>NA</v>
      </c>
      <c r="L46" s="6" t="str">
        <f>IFERROR('Page 2. IKTVA Schedule'!K21/'Page 2. IKTVA Schedule'!I$21-1,"NA")</f>
        <v>NA</v>
      </c>
      <c r="M46" s="6" t="str">
        <f>IFERROR('Page 2. IKTVA Schedule'!M21/'Page 2. IKTVA Schedule'!K$21-1,"NA")</f>
        <v>NA</v>
      </c>
    </row>
    <row r="47" spans="1:13" x14ac:dyDescent="0.25">
      <c r="B47" s="2" t="s">
        <v>61</v>
      </c>
      <c r="C47" s="6"/>
      <c r="D47" s="6" t="str">
        <f>IFERROR('Page 2. IKTVA Schedule'!F22/'Page 2. IKTVA Schedule'!D22-1,"NA")</f>
        <v>NA</v>
      </c>
      <c r="E47" s="6" t="str">
        <f>IFERROR('Page 2. IKTVA Schedule'!H22/'Page 2. IKTVA Schedule'!F22-1,"NA")</f>
        <v>NA</v>
      </c>
      <c r="F47" s="6" t="str">
        <f>IFERROR('Page 2. IKTVA Schedule'!J22/'Page 2. IKTVA Schedule'!H22-1,"NA")</f>
        <v>NA</v>
      </c>
      <c r="G47" s="6" t="str">
        <f>IFERROR('Page 2. IKTVA Schedule'!L22/'Page 2. IKTVA Schedule'!J22-1,"NA")</f>
        <v>NA</v>
      </c>
      <c r="J47" s="6" t="str">
        <f>IFERROR('Page 2. IKTVA Schedule'!G22/'Page 2. IKTVA Schedule'!E$22-1,"NA")</f>
        <v>NA</v>
      </c>
      <c r="K47" s="6" t="str">
        <f>IFERROR('Page 2. IKTVA Schedule'!I22/'Page 2. IKTVA Schedule'!G$22-1,"NA")</f>
        <v>NA</v>
      </c>
      <c r="L47" s="6" t="str">
        <f>IFERROR('Page 2. IKTVA Schedule'!K22/'Page 2. IKTVA Schedule'!I$22-1,"NA")</f>
        <v>NA</v>
      </c>
      <c r="M47" s="6" t="str">
        <f>IFERROR('Page 2. IKTVA Schedule'!M22/'Page 2. IKTVA Schedule'!K$22-1,"NA")</f>
        <v>NA</v>
      </c>
    </row>
    <row r="48" spans="1:13" x14ac:dyDescent="0.25">
      <c r="B48" s="2" t="s">
        <v>190</v>
      </c>
      <c r="C48" s="6"/>
      <c r="D48" s="6"/>
      <c r="E48" s="6"/>
      <c r="F48" s="6"/>
      <c r="G48" s="6"/>
      <c r="J48" s="6" t="str">
        <f>IFERROR('Page 2. IKTVA Schedule'!G24/'Page 2. IKTVA Schedule'!E24-1,"NA")</f>
        <v>NA</v>
      </c>
      <c r="K48" s="6" t="str">
        <f>IFERROR('Page 2. IKTVA Schedule'!I24/'Page 2. IKTVA Schedule'!G24-1,"NA")</f>
        <v>NA</v>
      </c>
      <c r="L48" s="6" t="str">
        <f>IFERROR('Page 2. IKTVA Schedule'!K24/'Page 2. IKTVA Schedule'!I24-1,"NA")</f>
        <v>NA</v>
      </c>
      <c r="M48" s="6" t="str">
        <f>IFERROR('Page 2. IKTVA Schedule'!M24/'Page 2. IKTVA Schedule'!K24-1,"NA")</f>
        <v>NA</v>
      </c>
    </row>
    <row r="49" spans="1:13" x14ac:dyDescent="0.25">
      <c r="B49" s="2" t="s">
        <v>46</v>
      </c>
      <c r="C49" s="6"/>
      <c r="D49" s="6" t="str">
        <f>IFERROR('Page 2. IKTVA Schedule'!F25/'Page 2. IKTVA Schedule'!D25-1,"NA")</f>
        <v>NA</v>
      </c>
      <c r="E49" s="6" t="str">
        <f>IFERROR('Page 2. IKTVA Schedule'!H25/'Page 2. IKTVA Schedule'!F25-1,"NA")</f>
        <v>NA</v>
      </c>
      <c r="F49" s="6" t="str">
        <f>IFERROR('Page 2. IKTVA Schedule'!J25/'Page 2. IKTVA Schedule'!H25-1,"NA")</f>
        <v>NA</v>
      </c>
      <c r="G49" s="6" t="str">
        <f>IFERROR('Page 2. IKTVA Schedule'!L25/'Page 2. IKTVA Schedule'!J25-1,"NA")</f>
        <v>NA</v>
      </c>
      <c r="J49" s="6" t="str">
        <f>IFERROR('Page 2. IKTVA Schedule'!G25/'Page 2. IKTVA Schedule'!E25-1,"NA")</f>
        <v>NA</v>
      </c>
      <c r="K49" s="6" t="str">
        <f>IFERROR('Page 2. IKTVA Schedule'!I25/'Page 2. IKTVA Schedule'!G25-1,"NA")</f>
        <v>NA</v>
      </c>
      <c r="L49" s="6" t="str">
        <f>IFERROR('Page 2. IKTVA Schedule'!K25/'Page 2. IKTVA Schedule'!I25-1,"NA")</f>
        <v>NA</v>
      </c>
      <c r="M49" s="6" t="str">
        <f>IFERROR('Page 2. IKTVA Schedule'!M25/'Page 2. IKTVA Schedule'!K25-1,"NA")</f>
        <v>NA</v>
      </c>
    </row>
    <row r="50" spans="1:13" x14ac:dyDescent="0.25">
      <c r="B50" s="2" t="s">
        <v>31</v>
      </c>
      <c r="C50" s="6"/>
      <c r="D50" s="6" t="str">
        <f>IFERROR('Page 2. IKTVA Schedule'!F27/'Page 2. IKTVA Schedule'!D27-1,"NA")</f>
        <v>NA</v>
      </c>
      <c r="E50" s="6" t="str">
        <f>IFERROR('Page 2. IKTVA Schedule'!H27/'Page 2. IKTVA Schedule'!F27-1,"NA")</f>
        <v>NA</v>
      </c>
      <c r="F50" s="6" t="str">
        <f>IFERROR('Page 2. IKTVA Schedule'!J27/'Page 2. IKTVA Schedule'!H27-1,"NA")</f>
        <v>NA</v>
      </c>
      <c r="G50" s="6" t="str">
        <f>IFERROR('Page 2. IKTVA Schedule'!L27/'Page 2. IKTVA Schedule'!J27-1,"NA")</f>
        <v>NA</v>
      </c>
      <c r="J50" s="6" t="str">
        <f>IFERROR('Page 2. IKTVA Schedule'!G27/'Page 2. IKTVA Schedule'!E$27-1,"NA")</f>
        <v>NA</v>
      </c>
      <c r="K50" s="6" t="str">
        <f>IFERROR('Page 2. IKTVA Schedule'!I27/'Page 2. IKTVA Schedule'!G$27-1,"NA")</f>
        <v>NA</v>
      </c>
      <c r="L50" s="6" t="str">
        <f>IFERROR('Page 2. IKTVA Schedule'!K27/'Page 2. IKTVA Schedule'!I$27-1,"NA")</f>
        <v>NA</v>
      </c>
      <c r="M50" s="6" t="str">
        <f>IFERROR('Page 2. IKTVA Schedule'!M27/'Page 2. IKTVA Schedule'!K$27-1,"NA")</f>
        <v>NA</v>
      </c>
    </row>
    <row r="51" spans="1:13" x14ac:dyDescent="0.25">
      <c r="B51" s="2" t="s">
        <v>57</v>
      </c>
      <c r="C51" s="6"/>
      <c r="D51" s="6" t="str">
        <f>IFERROR('Page 2. IKTVA Schedule'!F29/'Page 2. IKTVA Schedule'!D29-1,"NA")</f>
        <v>NA</v>
      </c>
      <c r="E51" s="6" t="str">
        <f>IFERROR('Page 2. IKTVA Schedule'!H29/'Page 2. IKTVA Schedule'!F29-1,"NA")</f>
        <v>NA</v>
      </c>
      <c r="F51" s="6" t="str">
        <f>IFERROR('Page 2. IKTVA Schedule'!J29/'Page 2. IKTVA Schedule'!H29-1,"NA")</f>
        <v>NA</v>
      </c>
      <c r="G51" s="6" t="str">
        <f>IFERROR('Page 2. IKTVA Schedule'!L29/'Page 2. IKTVA Schedule'!J29-1,"NA")</f>
        <v>NA</v>
      </c>
      <c r="J51" s="6" t="str">
        <f>IFERROR('Page 2. IKTVA Schedule'!G29/'Page 2. IKTVA Schedule'!E$29-1,"NA")</f>
        <v>NA</v>
      </c>
      <c r="K51" s="6" t="str">
        <f>IFERROR('Page 2. IKTVA Schedule'!I29/'Page 2. IKTVA Schedule'!G$29-1,"NA")</f>
        <v>NA</v>
      </c>
      <c r="L51" s="6" t="str">
        <f>IFERROR('Page 2. IKTVA Schedule'!K29/'Page 2. IKTVA Schedule'!I$29-1,"NA")</f>
        <v>NA</v>
      </c>
      <c r="M51" s="6" t="str">
        <f>IFERROR('Page 2. IKTVA Schedule'!M29/'Page 2. IKTVA Schedule'!K$29-1,"NA")</f>
        <v>NA</v>
      </c>
    </row>
    <row r="52" spans="1:13" x14ac:dyDescent="0.25">
      <c r="A52" s="11"/>
      <c r="B52" s="12"/>
      <c r="C52" s="12"/>
      <c r="D52" s="12"/>
      <c r="E52" s="12"/>
      <c r="F52" s="12"/>
      <c r="G52" s="12"/>
      <c r="I52" s="12"/>
      <c r="J52" s="12"/>
      <c r="K52" s="12"/>
      <c r="L52" s="12"/>
      <c r="M52" s="12"/>
    </row>
    <row r="53" spans="1:13" x14ac:dyDescent="0.25">
      <c r="A53" s="3" t="s">
        <v>38</v>
      </c>
      <c r="C53" s="8">
        <f>+'Page 2. IKTVA Schedule'!D22</f>
        <v>0</v>
      </c>
      <c r="D53" s="8">
        <f>+'Page 2. IKTVA Schedule'!F22</f>
        <v>0</v>
      </c>
      <c r="E53" s="8">
        <f>+'Page 2. IKTVA Schedule'!H22</f>
        <v>0</v>
      </c>
      <c r="F53" s="8">
        <f>+'Page 2. IKTVA Schedule'!J22</f>
        <v>0</v>
      </c>
      <c r="G53" s="8">
        <f>+'Page 2. IKTVA Schedule'!L22</f>
        <v>0</v>
      </c>
      <c r="I53" s="8">
        <f>+'Page 2. IKTVA Schedule'!E22</f>
        <v>0</v>
      </c>
      <c r="J53" s="8">
        <f>+'Page 2. IKTVA Schedule'!G22</f>
        <v>0</v>
      </c>
      <c r="K53" s="8">
        <f>+'Page 2. IKTVA Schedule'!I22</f>
        <v>0</v>
      </c>
      <c r="L53" s="8">
        <f>+'Page 2. IKTVA Schedule'!K22</f>
        <v>0</v>
      </c>
      <c r="M53" s="8">
        <f>+'Page 2. IKTVA Schedule'!M22</f>
        <v>0</v>
      </c>
    </row>
    <row r="54" spans="1:13" x14ac:dyDescent="0.25">
      <c r="B54" s="2" t="s">
        <v>86</v>
      </c>
      <c r="C54" s="10"/>
      <c r="D54" s="10"/>
      <c r="E54" s="10"/>
      <c r="F54" s="10"/>
      <c r="G54" s="10"/>
      <c r="I54" s="211"/>
      <c r="J54" s="211" t="str">
        <f>IFERROR(+J53/I53-1,"NA")</f>
        <v>NA</v>
      </c>
      <c r="K54" s="211" t="str">
        <f>IFERROR(+K53/J53-1,"NA")</f>
        <v>NA</v>
      </c>
      <c r="L54" s="211" t="str">
        <f>IFERROR(+L53/K53-1,"NA")</f>
        <v>NA</v>
      </c>
      <c r="M54" s="211" t="str">
        <f>IFERROR(+M53/L53-1,"NA")</f>
        <v>NA</v>
      </c>
    </row>
    <row r="55" spans="1:13" x14ac:dyDescent="0.25">
      <c r="A55" s="3" t="s">
        <v>39</v>
      </c>
      <c r="I55" s="212" t="str">
        <f>IFERROR(+'Page 2. IKTVA Schedule'!E25/'Page 2. IKTVA Schedule'!E24,"NA")</f>
        <v>NA</v>
      </c>
      <c r="J55" s="212" t="str">
        <f>IFERROR(+'Page 2. IKTVA Schedule'!G25/'Page 2. IKTVA Schedule'!G24,"NA")</f>
        <v>NA</v>
      </c>
      <c r="K55" s="212" t="str">
        <f>IFERROR(+'Page 2. IKTVA Schedule'!I25/'Page 2. IKTVA Schedule'!I24,"NA")</f>
        <v>NA</v>
      </c>
      <c r="L55" s="212" t="str">
        <f>IFERROR(+'Page 2. IKTVA Schedule'!K25/'Page 2. IKTVA Schedule'!K24,"NA")</f>
        <v>NA</v>
      </c>
      <c r="M55" s="212" t="str">
        <f>IFERROR(+'Page 2. IKTVA Schedule'!M25/'Page 2. IKTVA Schedule'!M24,"NA")</f>
        <v>NA</v>
      </c>
    </row>
    <row r="56" spans="1:13" x14ac:dyDescent="0.25">
      <c r="A56" s="11"/>
      <c r="B56" s="12"/>
      <c r="C56" s="12"/>
      <c r="D56" s="12"/>
      <c r="E56" s="12"/>
      <c r="F56" s="12"/>
      <c r="G56" s="12"/>
      <c r="I56" s="12"/>
      <c r="J56" s="12"/>
      <c r="K56" s="12"/>
      <c r="L56" s="12"/>
      <c r="M56" s="12"/>
    </row>
    <row r="57" spans="1:13" x14ac:dyDescent="0.25">
      <c r="A57" s="3" t="s">
        <v>40</v>
      </c>
    </row>
    <row r="58" spans="1:13" x14ac:dyDescent="0.25">
      <c r="B58" s="2" t="s">
        <v>41</v>
      </c>
      <c r="I58" s="213" t="str">
        <f>IFERROR(+'Page 2. IKTVA Schedule'!E$13/'Page 2. IKTVA Schedule'!E19,"NA")</f>
        <v>NA</v>
      </c>
      <c r="J58" s="213" t="str">
        <f>+IFERROR('Page 2. IKTVA Schedule'!G$13/'Page 2. IKTVA Schedule'!G19,"NA")</f>
        <v>NA</v>
      </c>
      <c r="K58" s="213" t="str">
        <f>IFERROR(+'Page 2. IKTVA Schedule'!I$13/'Page 2. IKTVA Schedule'!I19,"NA")</f>
        <v>NA</v>
      </c>
      <c r="L58" s="213" t="str">
        <f>IFERROR(+'Page 2. IKTVA Schedule'!K$13/'Page 2. IKTVA Schedule'!K19,"NA")</f>
        <v>NA</v>
      </c>
      <c r="M58" s="213" t="str">
        <f>IFERROR(+'Page 2. IKTVA Schedule'!M$13/'Page 2. IKTVA Schedule'!M19,"NA")</f>
        <v>NA</v>
      </c>
    </row>
    <row r="59" spans="1:13" x14ac:dyDescent="0.25">
      <c r="B59" s="2" t="s">
        <v>42</v>
      </c>
      <c r="I59" s="213" t="str">
        <f>IFERROR(+'Page 2. IKTVA Schedule'!E$13/'Page 2. IKTVA Schedule'!E20,"NA")</f>
        <v>NA</v>
      </c>
      <c r="J59" s="213" t="str">
        <f>+IFERROR('Page 2. IKTVA Schedule'!G$13/'Page 2. IKTVA Schedule'!G20,"NA")</f>
        <v>NA</v>
      </c>
      <c r="K59" s="213" t="str">
        <f>IFERROR(+'Page 2. IKTVA Schedule'!I$13/'Page 2. IKTVA Schedule'!I20,"NA")</f>
        <v>NA</v>
      </c>
      <c r="L59" s="213" t="str">
        <f>IFERROR(+'Page 2. IKTVA Schedule'!K$13/'Page 2. IKTVA Schedule'!K20,"NA")</f>
        <v>NA</v>
      </c>
      <c r="M59" s="213" t="str">
        <f>IFERROR(+'Page 2. IKTVA Schedule'!M$13/'Page 2. IKTVA Schedule'!M20,"NA")</f>
        <v>NA</v>
      </c>
    </row>
    <row r="60" spans="1:13" x14ac:dyDescent="0.25">
      <c r="A60" s="11"/>
      <c r="B60" s="12"/>
      <c r="C60" s="12"/>
      <c r="D60" s="12"/>
      <c r="E60" s="12"/>
      <c r="F60" s="12"/>
      <c r="G60" s="12"/>
      <c r="I60" s="12"/>
      <c r="J60" s="12"/>
      <c r="K60" s="12"/>
      <c r="L60" s="12"/>
      <c r="M60" s="12"/>
    </row>
    <row r="61" spans="1:13" x14ac:dyDescent="0.25">
      <c r="A61" s="3" t="s">
        <v>43</v>
      </c>
      <c r="C61" s="9">
        <f>+'Page 2. IKTVA Schedule'!D30</f>
        <v>0</v>
      </c>
      <c r="D61" s="9">
        <f>+'Page 2. IKTVA Schedule'!F30</f>
        <v>0</v>
      </c>
      <c r="E61" s="9">
        <f>+'Page 2. IKTVA Schedule'!H30</f>
        <v>0</v>
      </c>
      <c r="F61" s="9">
        <f>+'Page 2. IKTVA Schedule'!J30</f>
        <v>0</v>
      </c>
      <c r="G61" s="364">
        <f>+'Page 2. IKTVA Schedule'!L34</f>
        <v>0</v>
      </c>
      <c r="I61" s="9">
        <f>+'Page 2. IKTVA Schedule'!E30</f>
        <v>0</v>
      </c>
      <c r="J61" s="9">
        <f>+'Page 2. IKTVA Schedule'!G30</f>
        <v>0</v>
      </c>
      <c r="K61" s="9">
        <f>+'Page 2. IKTVA Schedule'!I30</f>
        <v>0</v>
      </c>
      <c r="L61" s="9">
        <f>+'Page 2. IKTVA Schedule'!K30</f>
        <v>0</v>
      </c>
      <c r="M61" s="364">
        <f>+'Page 2. IKTVA Schedule'!M34</f>
        <v>0</v>
      </c>
    </row>
    <row r="62" spans="1:13" x14ac:dyDescent="0.25">
      <c r="A62" s="3" t="s">
        <v>44</v>
      </c>
      <c r="I62" s="10">
        <f>+'Page 2. IKTVA Schedule'!E36</f>
        <v>0</v>
      </c>
      <c r="J62" s="10">
        <f>+'Page 2. IKTVA Schedule'!G36</f>
        <v>0</v>
      </c>
      <c r="K62" s="10">
        <f>+'Page 2. IKTVA Schedule'!I36</f>
        <v>0</v>
      </c>
      <c r="L62" s="10">
        <f>+'Page 2. IKTVA Schedule'!K36</f>
        <v>0</v>
      </c>
      <c r="M62" s="10">
        <f>+'Page 2. IKTVA Schedule'!M36</f>
        <v>0</v>
      </c>
    </row>
    <row r="65" spans="1:2" x14ac:dyDescent="0.25">
      <c r="A65" s="3" t="s">
        <v>45</v>
      </c>
    </row>
    <row r="66" spans="1:2" x14ac:dyDescent="0.25">
      <c r="B66" s="2" t="s">
        <v>235</v>
      </c>
    </row>
    <row r="67" spans="1:2" x14ac:dyDescent="0.25">
      <c r="B67" s="2" t="s">
        <v>236</v>
      </c>
    </row>
    <row r="68" spans="1:2" x14ac:dyDescent="0.25">
      <c r="B68" s="2" t="s">
        <v>237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C2:G2"/>
    <mergeCell ref="I2:M2"/>
  </mergeCells>
  <conditionalFormatting sqref="E33:E39 C33:C39">
    <cfRule type="cellIs" dxfId="66" priority="28" operator="equal">
      <formula>"No"</formula>
    </cfRule>
  </conditionalFormatting>
  <conditionalFormatting sqref="D33:D39">
    <cfRule type="cellIs" dxfId="65" priority="29" operator="equal">
      <formula>"No"</formula>
    </cfRule>
  </conditionalFormatting>
  <conditionalFormatting sqref="F33 F35:F39">
    <cfRule type="cellIs" dxfId="64" priority="27" operator="equal">
      <formula>"No"</formula>
    </cfRule>
  </conditionalFormatting>
  <conditionalFormatting sqref="C33:F33 C35:F39 C34:E34">
    <cfRule type="cellIs" dxfId="63" priority="24" operator="equal">
      <formula>"Yes"</formula>
    </cfRule>
    <cfRule type="cellIs" dxfId="62" priority="25" operator="equal">
      <formula>"No"</formula>
    </cfRule>
    <cfRule type="cellIs" dxfId="61" priority="26" operator="equal">
      <formula>"No"</formula>
    </cfRule>
  </conditionalFormatting>
  <conditionalFormatting sqref="G33 G35:G39">
    <cfRule type="cellIs" dxfId="60" priority="23" operator="equal">
      <formula>"No"</formula>
    </cfRule>
  </conditionalFormatting>
  <conditionalFormatting sqref="G33 G35:G39">
    <cfRule type="cellIs" dxfId="59" priority="20" operator="equal">
      <formula>"Yes"</formula>
    </cfRule>
    <cfRule type="cellIs" dxfId="58" priority="21" operator="equal">
      <formula>"No"</formula>
    </cfRule>
    <cfRule type="cellIs" dxfId="57" priority="22" operator="equal">
      <formula>"No"</formula>
    </cfRule>
  </conditionalFormatting>
  <conditionalFormatting sqref="M54">
    <cfRule type="cellIs" dxfId="56" priority="16" operator="lessThan">
      <formula>-0.1</formula>
    </cfRule>
    <cfRule type="cellIs" dxfId="55" priority="17" operator="greaterThan">
      <formula>0.1</formula>
    </cfRule>
  </conditionalFormatting>
  <conditionalFormatting sqref="F34">
    <cfRule type="cellIs" dxfId="54" priority="15" operator="equal">
      <formula>"No"</formula>
    </cfRule>
  </conditionalFormatting>
  <conditionalFormatting sqref="F34">
    <cfRule type="cellIs" dxfId="53" priority="12" operator="equal">
      <formula>"Yes"</formula>
    </cfRule>
    <cfRule type="cellIs" dxfId="52" priority="13" operator="equal">
      <formula>"No"</formula>
    </cfRule>
    <cfRule type="cellIs" dxfId="51" priority="14" operator="equal">
      <formula>"No"</formula>
    </cfRule>
  </conditionalFormatting>
  <conditionalFormatting sqref="G34">
    <cfRule type="cellIs" dxfId="50" priority="11" operator="equal">
      <formula>"No"</formula>
    </cfRule>
  </conditionalFormatting>
  <conditionalFormatting sqref="G34">
    <cfRule type="cellIs" dxfId="49" priority="8" operator="equal">
      <formula>"Yes"</formula>
    </cfRule>
    <cfRule type="cellIs" dxfId="48" priority="9" operator="equal">
      <formula>"No"</formula>
    </cfRule>
    <cfRule type="cellIs" dxfId="47" priority="10" operator="equal">
      <formula>"No"</formula>
    </cfRule>
  </conditionalFormatting>
  <conditionalFormatting sqref="L54">
    <cfRule type="cellIs" dxfId="46" priority="4" operator="lessThan">
      <formula>-0.1</formula>
    </cfRule>
    <cfRule type="cellIs" dxfId="45" priority="5" operator="greaterThan">
      <formula>0.1</formula>
    </cfRule>
  </conditionalFormatting>
  <conditionalFormatting sqref="K54">
    <cfRule type="cellIs" dxfId="44" priority="1" operator="lessThan">
      <formula>-0.1</formula>
    </cfRule>
    <cfRule type="cellIs" dxfId="43" priority="2" operator="greaterThan">
      <formula>0.1</formula>
    </cfRule>
  </conditionalFormatting>
  <pageMargins left="0.7" right="0.7" top="0.75" bottom="0.75" header="0.3" footer="0.3"/>
  <pageSetup scale="80" orientation="portrait" r:id="rId1"/>
  <headerFooter differentOddEven="1">
    <oddFooter>&amp;CSaudi Aramco: Confidential</oddFooter>
    <evenFooter>&amp;CSaudi Aramco: Confidential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34"/>
  <sheetViews>
    <sheetView showGridLines="0" tabSelected="1" zoomScale="90" zoomScaleNormal="90" workbookViewId="0">
      <selection activeCell="G7" sqref="G7"/>
    </sheetView>
  </sheetViews>
  <sheetFormatPr defaultRowHeight="15" x14ac:dyDescent="0.25"/>
  <cols>
    <col min="1" max="1" width="20.28515625" style="123" customWidth="1"/>
    <col min="2" max="2" width="72.7109375" style="123" customWidth="1"/>
    <col min="3" max="3" width="2.140625" style="123" customWidth="1"/>
    <col min="4" max="4" width="13.42578125" style="123" customWidth="1"/>
    <col min="5" max="5" width="26.85546875" style="123" customWidth="1"/>
    <col min="6" max="6" width="6.85546875" style="123" customWidth="1"/>
    <col min="7" max="7" width="21.7109375" style="123" customWidth="1"/>
    <col min="8" max="16384" width="9.140625" style="123"/>
  </cols>
  <sheetData>
    <row r="1" spans="1:7" ht="23.25" x14ac:dyDescent="0.35">
      <c r="A1" s="431" t="s">
        <v>92</v>
      </c>
      <c r="B1" s="432"/>
    </row>
    <row r="2" spans="1:7" ht="21" x14ac:dyDescent="0.35">
      <c r="A2" s="133" t="s">
        <v>2</v>
      </c>
      <c r="B2" s="13" t="s">
        <v>166</v>
      </c>
    </row>
    <row r="3" spans="1:7" ht="21" x14ac:dyDescent="0.35">
      <c r="A3" s="134" t="s">
        <v>110</v>
      </c>
      <c r="B3" s="389">
        <v>43100</v>
      </c>
    </row>
    <row r="4" spans="1:7" ht="21" customHeight="1" x14ac:dyDescent="0.3">
      <c r="A4" s="134" t="s">
        <v>3</v>
      </c>
      <c r="B4" s="435"/>
    </row>
    <row r="5" spans="1:7" ht="21" customHeight="1" x14ac:dyDescent="0.3">
      <c r="A5" s="135"/>
      <c r="B5" s="436"/>
    </row>
    <row r="6" spans="1:7" ht="21" customHeight="1" x14ac:dyDescent="0.35">
      <c r="A6" s="133" t="s">
        <v>119</v>
      </c>
      <c r="B6" s="27"/>
    </row>
    <row r="7" spans="1:7" ht="21" customHeight="1" x14ac:dyDescent="0.35">
      <c r="A7" s="133" t="s">
        <v>158</v>
      </c>
      <c r="B7" s="27"/>
    </row>
    <row r="8" spans="1:7" ht="3" customHeight="1" thickBot="1" x14ac:dyDescent="0.4">
      <c r="A8" s="205"/>
      <c r="B8" s="204"/>
    </row>
    <row r="9" spans="1:7" ht="23.25" x14ac:dyDescent="0.35">
      <c r="A9" s="431" t="s">
        <v>93</v>
      </c>
      <c r="B9" s="432"/>
    </row>
    <row r="10" spans="1:7" ht="21" x14ac:dyDescent="0.35">
      <c r="A10" s="136" t="s">
        <v>19</v>
      </c>
      <c r="B10" s="13"/>
    </row>
    <row r="11" spans="1:7" ht="21" x14ac:dyDescent="0.35">
      <c r="A11" s="136" t="s">
        <v>20</v>
      </c>
      <c r="B11" s="13"/>
    </row>
    <row r="12" spans="1:7" ht="21" customHeight="1" x14ac:dyDescent="0.35">
      <c r="A12" s="136" t="s">
        <v>94</v>
      </c>
      <c r="B12" s="13"/>
      <c r="D12" s="433" t="s">
        <v>115</v>
      </c>
      <c r="E12" s="433"/>
      <c r="F12" s="433"/>
      <c r="G12" s="433"/>
    </row>
    <row r="13" spans="1:7" ht="21.75" customHeight="1" thickBot="1" x14ac:dyDescent="0.4">
      <c r="A13" s="137" t="s">
        <v>21</v>
      </c>
      <c r="B13" s="14"/>
      <c r="D13" s="433"/>
      <c r="E13" s="433"/>
      <c r="F13" s="433"/>
      <c r="G13" s="433"/>
    </row>
    <row r="14" spans="1:7" ht="15.75" thickBot="1" x14ac:dyDescent="0.3">
      <c r="D14" s="434"/>
      <c r="E14" s="434"/>
      <c r="F14" s="434"/>
      <c r="G14" s="434"/>
    </row>
    <row r="15" spans="1:7" ht="45.75" thickBot="1" x14ac:dyDescent="0.3">
      <c r="D15" s="138" t="s">
        <v>99</v>
      </c>
      <c r="E15" s="139" t="s">
        <v>62</v>
      </c>
      <c r="F15" s="139" t="s">
        <v>100</v>
      </c>
      <c r="G15" s="140" t="s">
        <v>181</v>
      </c>
    </row>
    <row r="16" spans="1:7" x14ac:dyDescent="0.25">
      <c r="D16" s="124"/>
      <c r="E16" s="125"/>
      <c r="F16" s="125"/>
      <c r="G16" s="126"/>
    </row>
    <row r="17" spans="4:7" x14ac:dyDescent="0.25">
      <c r="D17" s="127"/>
      <c r="E17" s="128"/>
      <c r="F17" s="128"/>
      <c r="G17" s="129"/>
    </row>
    <row r="18" spans="4:7" x14ac:dyDescent="0.25">
      <c r="D18" s="127"/>
      <c r="E18" s="128"/>
      <c r="F18" s="128"/>
      <c r="G18" s="129"/>
    </row>
    <row r="19" spans="4:7" x14ac:dyDescent="0.25">
      <c r="D19" s="127"/>
      <c r="E19" s="128"/>
      <c r="F19" s="128"/>
      <c r="G19" s="129"/>
    </row>
    <row r="20" spans="4:7" x14ac:dyDescent="0.25">
      <c r="D20" s="127"/>
      <c r="E20" s="128"/>
      <c r="F20" s="128"/>
      <c r="G20" s="129"/>
    </row>
    <row r="21" spans="4:7" x14ac:dyDescent="0.25">
      <c r="D21" s="127"/>
      <c r="E21" s="128"/>
      <c r="F21" s="128"/>
      <c r="G21" s="129"/>
    </row>
    <row r="22" spans="4:7" x14ac:dyDescent="0.25">
      <c r="D22" s="127"/>
      <c r="E22" s="128"/>
      <c r="F22" s="128"/>
      <c r="G22" s="129"/>
    </row>
    <row r="23" spans="4:7" x14ac:dyDescent="0.25">
      <c r="D23" s="127"/>
      <c r="E23" s="128"/>
      <c r="F23" s="128"/>
      <c r="G23" s="129"/>
    </row>
    <row r="24" spans="4:7" x14ac:dyDescent="0.25">
      <c r="D24" s="127"/>
      <c r="E24" s="128"/>
      <c r="F24" s="128"/>
      <c r="G24" s="129"/>
    </row>
    <row r="25" spans="4:7" x14ac:dyDescent="0.25">
      <c r="D25" s="127"/>
      <c r="E25" s="128"/>
      <c r="F25" s="128"/>
      <c r="G25" s="129"/>
    </row>
    <row r="26" spans="4:7" x14ac:dyDescent="0.25">
      <c r="D26" s="127"/>
      <c r="E26" s="128"/>
      <c r="F26" s="128"/>
      <c r="G26" s="129"/>
    </row>
    <row r="27" spans="4:7" x14ac:dyDescent="0.25">
      <c r="D27" s="127"/>
      <c r="E27" s="128"/>
      <c r="F27" s="128"/>
      <c r="G27" s="129"/>
    </row>
    <row r="28" spans="4:7" x14ac:dyDescent="0.25">
      <c r="D28" s="127"/>
      <c r="E28" s="128"/>
      <c r="F28" s="128"/>
      <c r="G28" s="129"/>
    </row>
    <row r="29" spans="4:7" x14ac:dyDescent="0.25">
      <c r="D29" s="127"/>
      <c r="E29" s="128"/>
      <c r="F29" s="128"/>
      <c r="G29" s="129"/>
    </row>
    <row r="30" spans="4:7" x14ac:dyDescent="0.25">
      <c r="D30" s="127"/>
      <c r="E30" s="128"/>
      <c r="F30" s="128"/>
      <c r="G30" s="129"/>
    </row>
    <row r="31" spans="4:7" x14ac:dyDescent="0.25">
      <c r="D31" s="127"/>
      <c r="E31" s="128"/>
      <c r="F31" s="128"/>
      <c r="G31" s="129"/>
    </row>
    <row r="32" spans="4:7" x14ac:dyDescent="0.25">
      <c r="D32" s="127"/>
      <c r="E32" s="128"/>
      <c r="F32" s="128"/>
      <c r="G32" s="129"/>
    </row>
    <row r="33" spans="4:7" x14ac:dyDescent="0.25">
      <c r="D33" s="127"/>
      <c r="E33" s="128"/>
      <c r="F33" s="128"/>
      <c r="G33" s="129"/>
    </row>
    <row r="34" spans="4:7" ht="15.75" thickBot="1" x14ac:dyDescent="0.3">
      <c r="D34" s="130"/>
      <c r="E34" s="131"/>
      <c r="F34" s="131"/>
      <c r="G34" s="132"/>
    </row>
  </sheetData>
  <sheetProtection formatCells="0" insertColumns="0" insertRows="0" insertHyperlinks="0" deleteColumns="0" deleteRows="0" selectLockedCells="1" sort="0" autoFilter="0" pivotTables="0"/>
  <mergeCells count="4">
    <mergeCell ref="A1:B1"/>
    <mergeCell ref="D12:G14"/>
    <mergeCell ref="A9:B9"/>
    <mergeCell ref="B4:B5"/>
  </mergeCells>
  <dataValidations count="1">
    <dataValidation type="date" allowBlank="1" showInputMessage="1" showErrorMessage="1" prompt="Enter a date (in digits)" sqref="B3">
      <formula1>42400</formula1>
      <formula2>43373</formula2>
    </dataValidation>
  </dataValidations>
  <pageMargins left="0.7" right="0.7" top="0.75" bottom="0.75" header="0.3" footer="0.3"/>
  <pageSetup scale="70" orientation="landscape" r:id="rId1"/>
  <headerFooter differentOddEven="1">
    <oddFooter>&amp;LVersion 2017 FTF v.1.4&amp;CSaudi Aramco: Confidential&amp;R&amp;F
&amp;D</oddFooter>
    <evenFooter>&amp;CSaudi Aramco: Confidential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56"/>
  <sheetViews>
    <sheetView showGridLines="0" zoomScale="85" zoomScaleNormal="85" workbookViewId="0">
      <selection activeCell="M10" sqref="M10"/>
    </sheetView>
  </sheetViews>
  <sheetFormatPr defaultRowHeight="15" x14ac:dyDescent="0.25"/>
  <cols>
    <col min="1" max="1" width="6.140625" style="41" customWidth="1"/>
    <col min="2" max="2" width="45" style="41" customWidth="1"/>
    <col min="3" max="3" width="49.140625" style="41" customWidth="1"/>
    <col min="4" max="7" width="15.7109375" style="41" hidden="1" customWidth="1"/>
    <col min="8" max="15" width="15.7109375" style="41" customWidth="1"/>
    <col min="16" max="16" width="41.140625" style="41" customWidth="1"/>
    <col min="17" max="16384" width="9.140625" style="41"/>
  </cols>
  <sheetData>
    <row r="1" spans="1:16" ht="26.25" x14ac:dyDescent="0.4">
      <c r="A1" s="483" t="str">
        <f>+'Page 1. Company Information'!$B$2</f>
        <v>Name of Company</v>
      </c>
      <c r="B1" s="483"/>
      <c r="C1" s="483"/>
    </row>
    <row r="2" spans="1:16" ht="23.25" x14ac:dyDescent="0.35">
      <c r="A2" s="484" t="s">
        <v>89</v>
      </c>
      <c r="B2" s="484"/>
      <c r="C2" s="484"/>
    </row>
    <row r="3" spans="1:16" ht="9" customHeight="1" x14ac:dyDescent="0.35">
      <c r="A3" s="62"/>
      <c r="B3" s="62"/>
      <c r="C3" s="62"/>
      <c r="D3" s="62"/>
      <c r="E3" s="62"/>
      <c r="F3" s="62"/>
      <c r="G3" s="62"/>
    </row>
    <row r="4" spans="1:16" ht="21" x14ac:dyDescent="0.35">
      <c r="A4" s="498" t="s">
        <v>4</v>
      </c>
      <c r="B4" s="498"/>
      <c r="C4" s="62"/>
      <c r="D4" s="62"/>
      <c r="E4" s="62"/>
      <c r="F4" s="62"/>
      <c r="G4" s="62"/>
      <c r="N4" s="299" t="s">
        <v>244</v>
      </c>
    </row>
    <row r="5" spans="1:16" ht="15.75" x14ac:dyDescent="0.25">
      <c r="C5" s="55"/>
    </row>
    <row r="6" spans="1:16" ht="2.1" customHeight="1" x14ac:dyDescent="0.35">
      <c r="B6" s="63"/>
      <c r="C6" s="63"/>
    </row>
    <row r="7" spans="1:16" ht="21" x14ac:dyDescent="0.35">
      <c r="B7" s="64"/>
      <c r="C7" s="65"/>
      <c r="D7" s="442">
        <f>+F7-365</f>
        <v>41639</v>
      </c>
      <c r="E7" s="446"/>
      <c r="F7" s="442">
        <f>+H7-365</f>
        <v>42004</v>
      </c>
      <c r="G7" s="446"/>
      <c r="H7" s="442">
        <f>+J7-366</f>
        <v>42369</v>
      </c>
      <c r="I7" s="446"/>
      <c r="J7" s="442">
        <f>+L7-365</f>
        <v>42735</v>
      </c>
      <c r="K7" s="446"/>
      <c r="L7" s="442">
        <f>+'Page 1. Company Information'!B3</f>
        <v>43100</v>
      </c>
      <c r="M7" s="443"/>
      <c r="N7" s="490"/>
      <c r="O7" s="491"/>
      <c r="P7" s="491"/>
    </row>
    <row r="8" spans="1:16" ht="17.25" x14ac:dyDescent="0.25">
      <c r="A8" s="495"/>
      <c r="B8" s="496"/>
      <c r="C8" s="66" t="s">
        <v>13</v>
      </c>
      <c r="D8" s="67" t="s">
        <v>0</v>
      </c>
      <c r="E8" s="68" t="s">
        <v>27</v>
      </c>
      <c r="F8" s="67" t="s">
        <v>0</v>
      </c>
      <c r="G8" s="68" t="s">
        <v>27</v>
      </c>
      <c r="H8" s="67" t="s">
        <v>0</v>
      </c>
      <c r="I8" s="68" t="s">
        <v>27</v>
      </c>
      <c r="J8" s="67" t="s">
        <v>0</v>
      </c>
      <c r="K8" s="68" t="s">
        <v>27</v>
      </c>
      <c r="L8" s="67" t="s">
        <v>0</v>
      </c>
      <c r="M8" s="68" t="s">
        <v>27</v>
      </c>
      <c r="N8" s="492" t="s">
        <v>1</v>
      </c>
      <c r="O8" s="491"/>
      <c r="P8" s="491"/>
    </row>
    <row r="9" spans="1:16" ht="18.75" x14ac:dyDescent="0.25">
      <c r="A9" s="497" t="s">
        <v>66</v>
      </c>
      <c r="B9" s="497"/>
      <c r="C9" s="69"/>
      <c r="D9" s="70"/>
      <c r="E9" s="71"/>
      <c r="F9" s="70"/>
      <c r="G9" s="71"/>
      <c r="H9" s="70"/>
      <c r="I9" s="71"/>
      <c r="J9" s="70"/>
      <c r="K9" s="71"/>
      <c r="L9" s="70"/>
      <c r="M9" s="71"/>
      <c r="N9" s="493"/>
      <c r="O9" s="494"/>
      <c r="P9" s="494"/>
    </row>
    <row r="10" spans="1:16" ht="31.5" x14ac:dyDescent="0.25">
      <c r="A10" s="437" t="s">
        <v>68</v>
      </c>
      <c r="B10" s="438"/>
      <c r="C10" s="79" t="s">
        <v>95</v>
      </c>
      <c r="D10" s="17">
        <v>0</v>
      </c>
      <c r="E10" s="18">
        <v>0</v>
      </c>
      <c r="F10" s="17">
        <v>0</v>
      </c>
      <c r="G10" s="18">
        <v>0</v>
      </c>
      <c r="H10" s="240">
        <v>0</v>
      </c>
      <c r="I10" s="241">
        <v>0</v>
      </c>
      <c r="J10" s="240">
        <v>0</v>
      </c>
      <c r="K10" s="241">
        <v>0</v>
      </c>
      <c r="L10" s="240">
        <v>0</v>
      </c>
      <c r="M10" s="241">
        <v>0</v>
      </c>
      <c r="N10" s="476"/>
      <c r="O10" s="477"/>
      <c r="P10" s="477"/>
    </row>
    <row r="11" spans="1:16" ht="39.950000000000003" customHeight="1" x14ac:dyDescent="0.25">
      <c r="A11" s="437" t="s">
        <v>69</v>
      </c>
      <c r="B11" s="438"/>
      <c r="C11" s="79" t="s">
        <v>96</v>
      </c>
      <c r="D11" s="97"/>
      <c r="E11" s="121"/>
      <c r="F11" s="97"/>
      <c r="G11" s="121"/>
      <c r="H11" s="240">
        <v>0</v>
      </c>
      <c r="I11" s="241">
        <v>0</v>
      </c>
      <c r="J11" s="240">
        <v>0</v>
      </c>
      <c r="K11" s="241">
        <v>0</v>
      </c>
      <c r="L11" s="240">
        <v>0</v>
      </c>
      <c r="M11" s="241">
        <v>0</v>
      </c>
      <c r="N11" s="459"/>
      <c r="O11" s="482"/>
      <c r="P11" s="482"/>
    </row>
    <row r="12" spans="1:16" ht="39.950000000000003" customHeight="1" x14ac:dyDescent="0.25">
      <c r="A12" s="439" t="s">
        <v>9</v>
      </c>
      <c r="B12" s="440"/>
      <c r="C12" s="80" t="s">
        <v>97</v>
      </c>
      <c r="D12" s="122"/>
      <c r="E12" s="18">
        <v>0</v>
      </c>
      <c r="F12" s="122"/>
      <c r="G12" s="18">
        <v>0</v>
      </c>
      <c r="H12" s="122"/>
      <c r="I12" s="241">
        <v>0</v>
      </c>
      <c r="J12" s="122"/>
      <c r="K12" s="241">
        <v>0</v>
      </c>
      <c r="L12" s="122"/>
      <c r="M12" s="241">
        <v>0</v>
      </c>
      <c r="N12" s="478"/>
      <c r="O12" s="479"/>
      <c r="P12" s="479"/>
    </row>
    <row r="13" spans="1:16" s="72" customFormat="1" ht="15.75" x14ac:dyDescent="0.25">
      <c r="A13" s="475" t="s">
        <v>5</v>
      </c>
      <c r="B13" s="475"/>
      <c r="C13" s="81"/>
      <c r="D13" s="118">
        <f>D10</f>
        <v>0</v>
      </c>
      <c r="E13" s="206">
        <f>SUM(E10:E12)</f>
        <v>0</v>
      </c>
      <c r="F13" s="118">
        <f>F10</f>
        <v>0</v>
      </c>
      <c r="G13" s="206">
        <f>SUM(G10:G12)</f>
        <v>0</v>
      </c>
      <c r="H13" s="118">
        <f>SUM(H10:H11)</f>
        <v>0</v>
      </c>
      <c r="I13" s="206">
        <f>SUM(I10:I12)</f>
        <v>0</v>
      </c>
      <c r="J13" s="118">
        <f>SUM(J10:J11)</f>
        <v>0</v>
      </c>
      <c r="K13" s="119">
        <f>SUM(K10:K12)</f>
        <v>0</v>
      </c>
      <c r="L13" s="118">
        <f>SUM(L10:L11)</f>
        <v>0</v>
      </c>
      <c r="M13" s="119">
        <f>SUM(M10:M12)</f>
        <v>0</v>
      </c>
      <c r="N13" s="472"/>
      <c r="O13" s="473"/>
      <c r="P13" s="474"/>
    </row>
    <row r="14" spans="1:16" ht="19.5" customHeight="1" x14ac:dyDescent="0.25">
      <c r="A14" s="444" t="s">
        <v>64</v>
      </c>
      <c r="B14" s="444"/>
      <c r="C14" s="445"/>
      <c r="D14" s="120"/>
      <c r="E14" s="121"/>
      <c r="F14" s="120"/>
      <c r="G14" s="121"/>
      <c r="H14" s="120"/>
      <c r="I14" s="121"/>
      <c r="J14" s="120"/>
      <c r="K14" s="121"/>
      <c r="L14" s="120"/>
      <c r="M14" s="121"/>
      <c r="N14" s="463"/>
      <c r="O14" s="464"/>
      <c r="P14" s="465"/>
    </row>
    <row r="15" spans="1:16" ht="79.5" customHeight="1" x14ac:dyDescent="0.25">
      <c r="A15" s="437" t="s">
        <v>30</v>
      </c>
      <c r="B15" s="438"/>
      <c r="C15" s="82" t="s">
        <v>159</v>
      </c>
      <c r="D15" s="17">
        <f>IFERROR(+E15*D$13/E$13,0)</f>
        <v>0</v>
      </c>
      <c r="E15" s="18">
        <v>0</v>
      </c>
      <c r="F15" s="17">
        <f>IFERROR(+G15*F$13/G$13,0)</f>
        <v>0</v>
      </c>
      <c r="G15" s="18">
        <v>0</v>
      </c>
      <c r="H15" s="378">
        <f>+'Page 3. In-Kingdom Suppliers'!$L62</f>
        <v>0</v>
      </c>
      <c r="I15" s="207">
        <f>+'Page 3. In-Kingdom Suppliers'!$K62</f>
        <v>0</v>
      </c>
      <c r="J15" s="378">
        <f>+'Page 3. In-Kingdom Suppliers'!$Q62</f>
        <v>0</v>
      </c>
      <c r="K15" s="207">
        <f>+'Page 3. In-Kingdom Suppliers'!$P62</f>
        <v>0</v>
      </c>
      <c r="L15" s="378">
        <f>+'Page 3. In-Kingdom Suppliers'!$V62</f>
        <v>0</v>
      </c>
      <c r="M15" s="207">
        <f>+'Page 3. In-Kingdom Suppliers'!$U62</f>
        <v>0</v>
      </c>
      <c r="N15" s="488"/>
      <c r="O15" s="489"/>
      <c r="P15" s="489"/>
    </row>
    <row r="16" spans="1:16" ht="75.75" customHeight="1" x14ac:dyDescent="0.25">
      <c r="A16" s="439" t="s">
        <v>65</v>
      </c>
      <c r="B16" s="440"/>
      <c r="C16" s="83" t="s">
        <v>475</v>
      </c>
      <c r="D16" s="120"/>
      <c r="E16" s="121"/>
      <c r="F16" s="120"/>
      <c r="G16" s="121"/>
      <c r="H16" s="120"/>
      <c r="I16" s="121"/>
      <c r="J16" s="240">
        <f>IFERROR(+J$10/(K$12+K$10)*K16,0)</f>
        <v>0</v>
      </c>
      <c r="K16" s="207">
        <f>+'Page 6. Depreciation &amp; Amort'!$C28</f>
        <v>0</v>
      </c>
      <c r="L16" s="240">
        <f>IFERROR(+L$10/(M$12+M$10)*M16,0)</f>
        <v>0</v>
      </c>
      <c r="M16" s="207">
        <f>+'Page 6. Depreciation &amp; Amort'!$D28</f>
        <v>0</v>
      </c>
      <c r="N16" s="480"/>
      <c r="O16" s="481"/>
      <c r="P16" s="481"/>
    </row>
    <row r="17" spans="1:16" s="72" customFormat="1" ht="15.75" x14ac:dyDescent="0.25">
      <c r="A17" s="475" t="s">
        <v>48</v>
      </c>
      <c r="B17" s="475"/>
      <c r="C17" s="81"/>
      <c r="D17" s="118">
        <f t="shared" ref="D17:K17" si="0">SUM(D15:D16)</f>
        <v>0</v>
      </c>
      <c r="E17" s="119">
        <f t="shared" si="0"/>
        <v>0</v>
      </c>
      <c r="F17" s="118">
        <f t="shared" si="0"/>
        <v>0</v>
      </c>
      <c r="G17" s="119">
        <f t="shared" si="0"/>
        <v>0</v>
      </c>
      <c r="H17" s="118">
        <f t="shared" si="0"/>
        <v>0</v>
      </c>
      <c r="I17" s="119">
        <f t="shared" si="0"/>
        <v>0</v>
      </c>
      <c r="J17" s="118">
        <f t="shared" si="0"/>
        <v>0</v>
      </c>
      <c r="K17" s="119">
        <f t="shared" si="0"/>
        <v>0</v>
      </c>
      <c r="L17" s="118">
        <f t="shared" ref="L17:M17" si="1">SUM(L15:L16)</f>
        <v>0</v>
      </c>
      <c r="M17" s="119">
        <f t="shared" si="1"/>
        <v>0</v>
      </c>
      <c r="N17" s="472"/>
      <c r="O17" s="473"/>
      <c r="P17" s="474"/>
    </row>
    <row r="18" spans="1:16" ht="18.75" customHeight="1" x14ac:dyDescent="0.25">
      <c r="A18" s="441" t="s">
        <v>167</v>
      </c>
      <c r="B18" s="441"/>
      <c r="C18" s="69"/>
      <c r="D18" s="120"/>
      <c r="E18" s="121"/>
      <c r="F18" s="120"/>
      <c r="G18" s="121"/>
      <c r="H18" s="120"/>
      <c r="I18" s="121"/>
      <c r="J18" s="120"/>
      <c r="K18" s="121"/>
      <c r="L18" s="120"/>
      <c r="M18" s="121"/>
      <c r="N18" s="463"/>
      <c r="O18" s="464"/>
      <c r="P18" s="465"/>
    </row>
    <row r="19" spans="1:16" ht="31.5" customHeight="1" x14ac:dyDescent="0.25">
      <c r="A19" s="437" t="s">
        <v>10</v>
      </c>
      <c r="B19" s="438"/>
      <c r="C19" s="79" t="s">
        <v>22</v>
      </c>
      <c r="D19" s="19">
        <f>IFERROR(+E19*D$13/E$13,0)</f>
        <v>0</v>
      </c>
      <c r="E19" s="20">
        <v>0</v>
      </c>
      <c r="F19" s="19">
        <f>IFERROR(+G19*F$13/G$13,0)</f>
        <v>0</v>
      </c>
      <c r="G19" s="20">
        <v>0</v>
      </c>
      <c r="H19" s="242">
        <f>IFERROR(+H$10/(I$12+I$10)*I19,0)</f>
        <v>0</v>
      </c>
      <c r="I19" s="243">
        <v>0</v>
      </c>
      <c r="J19" s="242">
        <f>IFERROR(+J$10/(K$12+K$10)*K19,0)</f>
        <v>0</v>
      </c>
      <c r="K19" s="376">
        <f>'Page 4. Saudi Jobs'!$E18</f>
        <v>0</v>
      </c>
      <c r="L19" s="242">
        <f>IFERROR(+L$10/(M$12+M$10)*M19,0)</f>
        <v>0</v>
      </c>
      <c r="M19" s="376">
        <f>'Page 4. Saudi Jobs'!$I18</f>
        <v>0</v>
      </c>
      <c r="N19" s="459"/>
      <c r="O19" s="460"/>
      <c r="P19" s="460"/>
    </row>
    <row r="20" spans="1:16" ht="15.75" x14ac:dyDescent="0.25">
      <c r="A20" s="437" t="s">
        <v>71</v>
      </c>
      <c r="B20" s="438"/>
      <c r="C20" s="79"/>
      <c r="D20" s="115"/>
      <c r="E20" s="21">
        <v>0</v>
      </c>
      <c r="F20" s="115"/>
      <c r="G20" s="21">
        <v>0</v>
      </c>
      <c r="H20" s="244"/>
      <c r="I20" s="370">
        <v>0</v>
      </c>
      <c r="J20" s="244"/>
      <c r="K20" s="377">
        <f>'Page 4. Saudi Jobs'!$G18</f>
        <v>0</v>
      </c>
      <c r="L20" s="244"/>
      <c r="M20" s="377">
        <f>'Page 4. Saudi Jobs'!$K18</f>
        <v>0</v>
      </c>
      <c r="N20" s="459"/>
      <c r="O20" s="460"/>
      <c r="P20" s="460"/>
    </row>
    <row r="21" spans="1:16" ht="118.5" customHeight="1" x14ac:dyDescent="0.25">
      <c r="A21" s="439" t="s">
        <v>11</v>
      </c>
      <c r="B21" s="440"/>
      <c r="C21" s="80" t="s">
        <v>180</v>
      </c>
      <c r="D21" s="17">
        <f>IFERROR(+E21*D$13/E$13,0)</f>
        <v>0</v>
      </c>
      <c r="E21" s="18">
        <v>0</v>
      </c>
      <c r="F21" s="17">
        <f>IFERROR(+G21*F$13/G$13,0)</f>
        <v>0</v>
      </c>
      <c r="G21" s="18">
        <v>0</v>
      </c>
      <c r="H21" s="240">
        <f>IFERROR(+H$10/(I$12+I$10)*I21,0)</f>
        <v>0</v>
      </c>
      <c r="I21" s="241">
        <v>0</v>
      </c>
      <c r="J21" s="240">
        <f>IFERROR(+J$10/(K$12+K$10)*K21,0)</f>
        <v>0</v>
      </c>
      <c r="K21" s="241">
        <v>0</v>
      </c>
      <c r="L21" s="240">
        <f>IFERROR(+L$10/(M$12+M$10)*M21,0)</f>
        <v>0</v>
      </c>
      <c r="M21" s="241">
        <v>0</v>
      </c>
      <c r="N21" s="468"/>
      <c r="O21" s="469"/>
      <c r="P21" s="469"/>
    </row>
    <row r="22" spans="1:16" ht="15.75" x14ac:dyDescent="0.25">
      <c r="A22" s="84"/>
      <c r="B22" s="84"/>
      <c r="C22" s="81" t="s">
        <v>17</v>
      </c>
      <c r="D22" s="114">
        <f t="shared" ref="D22:I22" si="2">IF(ISERR(D21/D19),0,D21/D19)</f>
        <v>0</v>
      </c>
      <c r="E22" s="116">
        <f t="shared" si="2"/>
        <v>0</v>
      </c>
      <c r="F22" s="114">
        <f t="shared" si="2"/>
        <v>0</v>
      </c>
      <c r="G22" s="116">
        <f t="shared" si="2"/>
        <v>0</v>
      </c>
      <c r="H22" s="114">
        <f t="shared" si="2"/>
        <v>0</v>
      </c>
      <c r="I22" s="117">
        <f t="shared" si="2"/>
        <v>0</v>
      </c>
      <c r="J22" s="114">
        <f t="shared" ref="J22:K22" si="3">IF(ISERR(J21/J19),0,J21/J19)</f>
        <v>0</v>
      </c>
      <c r="K22" s="117">
        <f t="shared" si="3"/>
        <v>0</v>
      </c>
      <c r="L22" s="114">
        <f t="shared" ref="L22:M22" si="4">IF(ISERR(L21/L19),0,L21/L19)</f>
        <v>0</v>
      </c>
      <c r="M22" s="117">
        <f t="shared" si="4"/>
        <v>0</v>
      </c>
      <c r="N22" s="485"/>
      <c r="O22" s="486"/>
      <c r="P22" s="487"/>
    </row>
    <row r="23" spans="1:16" ht="18.75" x14ac:dyDescent="0.25">
      <c r="A23" s="85" t="s">
        <v>168</v>
      </c>
      <c r="B23" s="85"/>
      <c r="C23" s="69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463"/>
      <c r="O23" s="464"/>
      <c r="P23" s="465"/>
    </row>
    <row r="24" spans="1:16" ht="57" customHeight="1" x14ac:dyDescent="0.25">
      <c r="A24" s="437" t="s">
        <v>6</v>
      </c>
      <c r="B24" s="438"/>
      <c r="C24" s="79" t="s">
        <v>70</v>
      </c>
      <c r="D24" s="115"/>
      <c r="E24" s="22">
        <v>0</v>
      </c>
      <c r="F24" s="115"/>
      <c r="G24" s="22">
        <v>0</v>
      </c>
      <c r="H24" s="244"/>
      <c r="I24" s="245">
        <v>0</v>
      </c>
      <c r="J24" s="244"/>
      <c r="K24" s="245">
        <v>0</v>
      </c>
      <c r="L24" s="244"/>
      <c r="M24" s="245">
        <v>0</v>
      </c>
      <c r="N24" s="459"/>
      <c r="O24" s="460"/>
      <c r="P24" s="460"/>
    </row>
    <row r="25" spans="1:16" ht="31.5" customHeight="1" x14ac:dyDescent="0.25">
      <c r="A25" s="439" t="s">
        <v>172</v>
      </c>
      <c r="B25" s="440"/>
      <c r="C25" s="80" t="s">
        <v>173</v>
      </c>
      <c r="D25" s="17">
        <f>IFERROR(+E25*D$13/E$13,0)</f>
        <v>0</v>
      </c>
      <c r="E25" s="18">
        <v>0</v>
      </c>
      <c r="F25" s="17">
        <f>IFERROR(+G25*F$13/G$13,0)</f>
        <v>0</v>
      </c>
      <c r="G25" s="18">
        <v>0</v>
      </c>
      <c r="H25" s="240">
        <f>IFERROR(+H$10/(I$12+I$10)*I25,0)</f>
        <v>0</v>
      </c>
      <c r="I25" s="241">
        <v>0</v>
      </c>
      <c r="J25" s="240">
        <f>IFERROR(+J$10/(K$12+K$10)*K25,0)</f>
        <v>0</v>
      </c>
      <c r="K25" s="241">
        <v>0</v>
      </c>
      <c r="L25" s="240">
        <f>IFERROR(+L$10/(M$12+M$10)*M25,0)</f>
        <v>0</v>
      </c>
      <c r="M25" s="241">
        <v>0</v>
      </c>
      <c r="N25" s="459"/>
      <c r="O25" s="460"/>
      <c r="P25" s="460"/>
    </row>
    <row r="26" spans="1:16" ht="15.75" x14ac:dyDescent="0.25">
      <c r="A26" s="84"/>
      <c r="B26" s="84"/>
      <c r="C26" s="86"/>
      <c r="D26" s="104"/>
      <c r="E26" s="105"/>
      <c r="F26" s="104"/>
      <c r="G26" s="105"/>
      <c r="H26" s="104"/>
      <c r="I26" s="105"/>
      <c r="J26" s="104"/>
      <c r="K26" s="105"/>
      <c r="L26" s="104"/>
      <c r="M26" s="105"/>
      <c r="N26" s="470"/>
      <c r="O26" s="464"/>
      <c r="P26" s="465"/>
    </row>
    <row r="27" spans="1:16" ht="31.5" x14ac:dyDescent="0.25">
      <c r="A27" s="451" t="s">
        <v>114</v>
      </c>
      <c r="B27" s="451"/>
      <c r="C27" s="87" t="s">
        <v>98</v>
      </c>
      <c r="D27" s="17">
        <f>IFERROR(+E27*D$13/E$13,0)</f>
        <v>0</v>
      </c>
      <c r="E27" s="18">
        <v>0</v>
      </c>
      <c r="F27" s="17">
        <f>IFERROR(+G27*F$13/G$13,0)</f>
        <v>0</v>
      </c>
      <c r="G27" s="18">
        <v>0</v>
      </c>
      <c r="H27" s="240">
        <f>IFERROR(+H$10/(I$12+I$10)*I27,0)</f>
        <v>0</v>
      </c>
      <c r="I27" s="241">
        <v>0</v>
      </c>
      <c r="J27" s="240">
        <f>IFERROR(+J$10/(K$12+K$10)*K27,0)</f>
        <v>0</v>
      </c>
      <c r="K27" s="241">
        <v>0</v>
      </c>
      <c r="L27" s="240">
        <f>IFERROR(+L$10/(M$12+M$10)*M27,0)</f>
        <v>0</v>
      </c>
      <c r="M27" s="241">
        <v>0</v>
      </c>
      <c r="N27" s="461"/>
      <c r="O27" s="462"/>
      <c r="P27" s="462"/>
    </row>
    <row r="28" spans="1:16" ht="15.75" x14ac:dyDescent="0.25">
      <c r="A28" s="84"/>
      <c r="B28" s="84"/>
      <c r="C28" s="86"/>
      <c r="D28" s="104"/>
      <c r="E28" s="105"/>
      <c r="F28" s="104"/>
      <c r="G28" s="105"/>
      <c r="H28" s="104"/>
      <c r="I28" s="105"/>
      <c r="J28" s="104"/>
      <c r="K28" s="105"/>
      <c r="L28" s="104"/>
      <c r="M28" s="105"/>
      <c r="N28" s="470"/>
      <c r="O28" s="464"/>
      <c r="P28" s="465"/>
    </row>
    <row r="29" spans="1:16" ht="28.5" customHeight="1" x14ac:dyDescent="0.25">
      <c r="A29" s="451" t="s">
        <v>362</v>
      </c>
      <c r="B29" s="451"/>
      <c r="C29" s="87" t="s">
        <v>122</v>
      </c>
      <c r="D29" s="113"/>
      <c r="E29" s="112"/>
      <c r="F29" s="113"/>
      <c r="G29" s="112"/>
      <c r="H29" s="240">
        <f>IFERROR(+H$10/(I$12+I$10)*I29,0)</f>
        <v>0</v>
      </c>
      <c r="I29" s="207">
        <f>+I42</f>
        <v>0</v>
      </c>
      <c r="J29" s="240">
        <f>IFERROR(+J$10/(K$12+K$10)*K29,0)</f>
        <v>0</v>
      </c>
      <c r="K29" s="207">
        <f>+K42</f>
        <v>0</v>
      </c>
      <c r="L29" s="240">
        <f>IFERROR(+L$10/(M$12+M$10)*M29,0)</f>
        <v>0</v>
      </c>
      <c r="M29" s="207">
        <f>+M42</f>
        <v>0</v>
      </c>
      <c r="N29" s="461"/>
      <c r="O29" s="462"/>
      <c r="P29" s="462"/>
    </row>
    <row r="30" spans="1:16" ht="15.75" customHeight="1" x14ac:dyDescent="0.25">
      <c r="A30" s="448" t="s">
        <v>364</v>
      </c>
      <c r="B30" s="447"/>
      <c r="C30" s="447"/>
      <c r="D30" s="447">
        <f>IFERROR(SUM(D17,D21,D25,D27,D29)/D13,0)</f>
        <v>0</v>
      </c>
      <c r="E30" s="323">
        <f t="shared" ref="E30:K30" si="5">IFERROR(SUM(E17,E21,E25,E27,E29)/E13,0)</f>
        <v>0</v>
      </c>
      <c r="F30" s="323">
        <f t="shared" si="5"/>
        <v>0</v>
      </c>
      <c r="G30" s="323">
        <f t="shared" si="5"/>
        <v>0</v>
      </c>
      <c r="H30" s="327">
        <f t="shared" si="5"/>
        <v>0</v>
      </c>
      <c r="I30" s="328">
        <f t="shared" si="5"/>
        <v>0</v>
      </c>
      <c r="J30" s="327">
        <f t="shared" si="5"/>
        <v>0</v>
      </c>
      <c r="K30" s="328">
        <f t="shared" si="5"/>
        <v>0</v>
      </c>
      <c r="L30" s="327">
        <f t="shared" ref="L30:M30" si="6">IFERROR(SUM(L17,L21,L25,L27,L29)/L13,0)</f>
        <v>0</v>
      </c>
      <c r="M30" s="329">
        <f t="shared" si="6"/>
        <v>0</v>
      </c>
      <c r="N30" s="324"/>
      <c r="O30" s="325"/>
      <c r="P30" s="326"/>
    </row>
    <row r="31" spans="1:16" ht="5.0999999999999996" customHeight="1" x14ac:dyDescent="0.25">
      <c r="N31" s="100"/>
      <c r="O31" s="101"/>
      <c r="P31" s="322"/>
    </row>
    <row r="32" spans="1:16" ht="15.75" x14ac:dyDescent="0.25">
      <c r="A32" s="448" t="s">
        <v>356</v>
      </c>
      <c r="B32" s="447"/>
      <c r="C32" s="447"/>
      <c r="D32" s="447"/>
      <c r="H32" s="120"/>
      <c r="I32" s="121"/>
      <c r="J32" s="120"/>
      <c r="K32" s="121"/>
      <c r="L32" s="327">
        <f>IF(L30=0,0,M32)</f>
        <v>0</v>
      </c>
      <c r="M32" s="329">
        <f>IF(((IFERROR((M12/M13),0)/0.3)*0.1)&gt;=0.1,0.1,(IFERROR((M12/M13),0)/0.3)*0.1)</f>
        <v>0</v>
      </c>
      <c r="N32" s="324"/>
      <c r="O32" s="325"/>
      <c r="P32" s="326"/>
    </row>
    <row r="33" spans="1:16" ht="8.25" customHeight="1" x14ac:dyDescent="0.25">
      <c r="N33" s="100"/>
      <c r="O33" s="322"/>
      <c r="P33" s="322"/>
    </row>
    <row r="34" spans="1:16" ht="15.75" x14ac:dyDescent="0.25">
      <c r="A34" s="449" t="s">
        <v>252</v>
      </c>
      <c r="B34" s="449"/>
      <c r="C34" s="321"/>
      <c r="D34" s="102"/>
      <c r="E34" s="74"/>
      <c r="F34" s="103"/>
      <c r="G34" s="74"/>
      <c r="H34" s="74">
        <f>H30</f>
        <v>0</v>
      </c>
      <c r="I34" s="74">
        <f>I30</f>
        <v>0</v>
      </c>
      <c r="J34" s="74">
        <f>J30</f>
        <v>0</v>
      </c>
      <c r="K34" s="74">
        <f>K30</f>
        <v>0</v>
      </c>
      <c r="L34" s="74">
        <f>SUM(L30,L32)</f>
        <v>0</v>
      </c>
      <c r="M34" s="74">
        <f>SUM(M30,M32)</f>
        <v>0</v>
      </c>
      <c r="N34" s="75"/>
      <c r="O34" s="76"/>
      <c r="P34" s="77"/>
    </row>
    <row r="35" spans="1:16" ht="5.25" customHeight="1" x14ac:dyDescent="0.25">
      <c r="N35" s="100"/>
      <c r="O35" s="322"/>
      <c r="P35" s="322"/>
    </row>
    <row r="36" spans="1:16" ht="15.75" x14ac:dyDescent="0.25">
      <c r="A36" s="449" t="s">
        <v>15</v>
      </c>
      <c r="B36" s="449"/>
      <c r="C36" s="73"/>
      <c r="D36" s="102"/>
      <c r="E36" s="74">
        <f>IF(ISERR(E19/E20),0,(E19/E20))</f>
        <v>0</v>
      </c>
      <c r="F36" s="103"/>
      <c r="G36" s="74">
        <f>IF(ISERR(G19/G20),0,(G19/G20))</f>
        <v>0</v>
      </c>
      <c r="H36" s="103"/>
      <c r="I36" s="74">
        <f>IF(ISERR(I19/I20),0,(I19/I20))</f>
        <v>0</v>
      </c>
      <c r="J36" s="103"/>
      <c r="K36" s="74">
        <f>IF(ISERR(K19/K20),0,(K19/K20))</f>
        <v>0</v>
      </c>
      <c r="L36" s="103"/>
      <c r="M36" s="74">
        <f>IF(ISERR(M19/M20),0,(M19/M20))</f>
        <v>0</v>
      </c>
      <c r="N36" s="75"/>
      <c r="O36" s="76"/>
      <c r="P36" s="77"/>
    </row>
    <row r="38" spans="1:16" ht="15.75" x14ac:dyDescent="0.25">
      <c r="A38" s="84"/>
      <c r="B38" s="84"/>
      <c r="C38" s="86"/>
      <c r="D38" s="104"/>
      <c r="E38" s="105"/>
      <c r="F38" s="104"/>
      <c r="G38" s="105"/>
      <c r="H38" s="104"/>
      <c r="I38" s="105"/>
      <c r="J38" s="104"/>
      <c r="K38" s="105"/>
      <c r="L38" s="104"/>
      <c r="M38" s="105"/>
      <c r="N38" s="106"/>
      <c r="O38" s="106"/>
      <c r="P38" s="107"/>
    </row>
    <row r="39" spans="1:16" ht="18.75" x14ac:dyDescent="0.25">
      <c r="A39" s="441" t="s">
        <v>363</v>
      </c>
      <c r="B39" s="441"/>
      <c r="C39" s="69"/>
      <c r="D39" s="97"/>
      <c r="E39" s="98"/>
      <c r="F39" s="98"/>
      <c r="G39" s="98"/>
      <c r="H39" s="98"/>
      <c r="I39" s="98"/>
      <c r="J39" s="98"/>
      <c r="K39" s="108"/>
      <c r="L39" s="98"/>
      <c r="M39" s="108"/>
      <c r="N39" s="109"/>
      <c r="O39" s="110"/>
      <c r="P39" s="111"/>
    </row>
    <row r="40" spans="1:16" ht="29.25" customHeight="1" x14ac:dyDescent="0.25">
      <c r="A40" s="437" t="s">
        <v>76</v>
      </c>
      <c r="B40" s="438"/>
      <c r="C40" s="79" t="s">
        <v>75</v>
      </c>
      <c r="D40" s="92"/>
      <c r="E40" s="18">
        <v>0</v>
      </c>
      <c r="F40" s="99"/>
      <c r="G40" s="18">
        <v>0</v>
      </c>
      <c r="H40" s="99"/>
      <c r="I40" s="207">
        <f>+'Page 5a. CAPEX Table'!$AJ52</f>
        <v>0</v>
      </c>
      <c r="J40" s="99"/>
      <c r="K40" s="207">
        <f>+'Page 5a. CAPEX Table'!$AN52</f>
        <v>0</v>
      </c>
      <c r="L40" s="99"/>
      <c r="M40" s="207">
        <f>+'Page 5a. CAPEX Table'!$AR52</f>
        <v>0</v>
      </c>
      <c r="N40" s="466"/>
      <c r="O40" s="467"/>
      <c r="P40" s="467"/>
    </row>
    <row r="41" spans="1:16" ht="63" x14ac:dyDescent="0.25">
      <c r="A41" s="455" t="s">
        <v>120</v>
      </c>
      <c r="B41" s="456"/>
      <c r="C41" s="88" t="s">
        <v>72</v>
      </c>
      <c r="D41" s="92"/>
      <c r="E41" s="93"/>
      <c r="F41" s="94"/>
      <c r="G41" s="93"/>
      <c r="H41" s="94"/>
      <c r="I41" s="93"/>
      <c r="J41" s="94"/>
      <c r="K41" s="95"/>
      <c r="L41" s="94"/>
      <c r="M41" s="95"/>
      <c r="N41" s="468"/>
      <c r="O41" s="471"/>
      <c r="P41" s="471"/>
    </row>
    <row r="42" spans="1:16" ht="15.75" x14ac:dyDescent="0.25">
      <c r="A42" s="89"/>
      <c r="B42" s="90"/>
      <c r="C42" s="88" t="s">
        <v>117</v>
      </c>
      <c r="D42" s="92"/>
      <c r="E42" s="93"/>
      <c r="F42" s="94"/>
      <c r="G42" s="93"/>
      <c r="H42" s="94"/>
      <c r="I42" s="246">
        <v>0</v>
      </c>
      <c r="J42" s="94"/>
      <c r="K42" s="246">
        <v>0</v>
      </c>
      <c r="L42" s="94"/>
      <c r="M42" s="246">
        <v>0</v>
      </c>
      <c r="N42" s="468"/>
      <c r="O42" s="471"/>
      <c r="P42" s="471"/>
    </row>
    <row r="43" spans="1:16" ht="15.75" x14ac:dyDescent="0.25">
      <c r="A43" s="89"/>
      <c r="B43" s="90"/>
      <c r="C43" s="80" t="s">
        <v>118</v>
      </c>
      <c r="D43" s="92"/>
      <c r="E43" s="93"/>
      <c r="F43" s="93"/>
      <c r="G43" s="93"/>
      <c r="H43" s="93"/>
      <c r="I43" s="247">
        <v>0</v>
      </c>
      <c r="J43" s="93"/>
      <c r="K43" s="247">
        <v>0</v>
      </c>
      <c r="L43" s="93"/>
      <c r="M43" s="247">
        <v>0</v>
      </c>
      <c r="N43" s="468"/>
      <c r="O43" s="471"/>
      <c r="P43" s="471"/>
    </row>
    <row r="44" spans="1:16" ht="15.75" x14ac:dyDescent="0.25">
      <c r="A44" s="452"/>
      <c r="B44" s="453"/>
      <c r="C44" s="91" t="s">
        <v>116</v>
      </c>
      <c r="D44" s="92"/>
      <c r="E44" s="18">
        <f>SUM(E42:E43)</f>
        <v>0</v>
      </c>
      <c r="F44" s="96"/>
      <c r="G44" s="18">
        <f>SUM(G42:G43)</f>
        <v>0</v>
      </c>
      <c r="H44" s="96"/>
      <c r="I44" s="209">
        <f>SUM(I42:I43)</f>
        <v>0</v>
      </c>
      <c r="J44" s="96"/>
      <c r="K44" s="209">
        <f>SUM(K42:K43)</f>
        <v>0</v>
      </c>
      <c r="L44" s="96"/>
      <c r="M44" s="209">
        <f>SUM(M42:M43)</f>
        <v>0</v>
      </c>
      <c r="N44" s="457"/>
      <c r="O44" s="458"/>
      <c r="P44" s="458"/>
    </row>
    <row r="45" spans="1:16" ht="15.75" x14ac:dyDescent="0.25">
      <c r="A45" s="454"/>
      <c r="B45" s="454"/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  <c r="O45" s="76"/>
      <c r="P45" s="77"/>
    </row>
    <row r="47" spans="1:16" ht="15" customHeight="1" x14ac:dyDescent="0.25">
      <c r="A47" s="450" t="s">
        <v>26</v>
      </c>
      <c r="B47" s="450"/>
      <c r="C47" s="450"/>
    </row>
    <row r="56" spans="5:5" x14ac:dyDescent="0.25">
      <c r="E56" s="78"/>
    </row>
  </sheetData>
  <sheetProtection algorithmName="SHA-512" hashValue="u9mQs2/k3ZK2huWes7iV0C5IYHRoBtqFQmXP0Iakgs3CcgsMSP8j02E+6xByGEKsgxQ7sbK3H+zgfVqKAyFvZQ==" saltValue="gUq9veUXNPfcD33QYSFxkw==" spinCount="100000" sheet="1" objects="1" scenarios="1" formatCells="0" selectLockedCells="1"/>
  <mergeCells count="66">
    <mergeCell ref="A1:C1"/>
    <mergeCell ref="A2:C2"/>
    <mergeCell ref="N22:P22"/>
    <mergeCell ref="N14:P14"/>
    <mergeCell ref="N15:P15"/>
    <mergeCell ref="N17:P17"/>
    <mergeCell ref="N18:P18"/>
    <mergeCell ref="H7:I7"/>
    <mergeCell ref="D7:E7"/>
    <mergeCell ref="F7:G7"/>
    <mergeCell ref="N7:P7"/>
    <mergeCell ref="N8:P8"/>
    <mergeCell ref="N9:P9"/>
    <mergeCell ref="A8:B8"/>
    <mergeCell ref="A9:B9"/>
    <mergeCell ref="A4:B4"/>
    <mergeCell ref="N13:P13"/>
    <mergeCell ref="A10:B10"/>
    <mergeCell ref="A12:B12"/>
    <mergeCell ref="A13:B13"/>
    <mergeCell ref="A17:B17"/>
    <mergeCell ref="A15:B15"/>
    <mergeCell ref="A16:B16"/>
    <mergeCell ref="A11:B11"/>
    <mergeCell ref="N10:P10"/>
    <mergeCell ref="N12:P12"/>
    <mergeCell ref="N16:P16"/>
    <mergeCell ref="N11:P11"/>
    <mergeCell ref="N44:P44"/>
    <mergeCell ref="N19:P19"/>
    <mergeCell ref="N20:P20"/>
    <mergeCell ref="N27:P27"/>
    <mergeCell ref="N24:P24"/>
    <mergeCell ref="N23:P23"/>
    <mergeCell ref="N40:P40"/>
    <mergeCell ref="N21:P21"/>
    <mergeCell ref="N26:P26"/>
    <mergeCell ref="N29:P29"/>
    <mergeCell ref="N28:P28"/>
    <mergeCell ref="N42:P42"/>
    <mergeCell ref="N43:P43"/>
    <mergeCell ref="N25:P25"/>
    <mergeCell ref="N41:P41"/>
    <mergeCell ref="A47:C47"/>
    <mergeCell ref="A27:B27"/>
    <mergeCell ref="A44:B44"/>
    <mergeCell ref="A30:B30"/>
    <mergeCell ref="A36:B36"/>
    <mergeCell ref="A40:B40"/>
    <mergeCell ref="A45:B45"/>
    <mergeCell ref="A39:B39"/>
    <mergeCell ref="A41:B41"/>
    <mergeCell ref="A29:B29"/>
    <mergeCell ref="A25:B25"/>
    <mergeCell ref="C30:D30"/>
    <mergeCell ref="A32:B32"/>
    <mergeCell ref="C32:D32"/>
    <mergeCell ref="A34:B34"/>
    <mergeCell ref="A24:B24"/>
    <mergeCell ref="A21:B21"/>
    <mergeCell ref="A18:B18"/>
    <mergeCell ref="L7:M7"/>
    <mergeCell ref="A14:C14"/>
    <mergeCell ref="J7:K7"/>
    <mergeCell ref="A20:B20"/>
    <mergeCell ref="A19:B19"/>
  </mergeCells>
  <dataValidations count="1">
    <dataValidation type="decimal" allowBlank="1" showInputMessage="1" showErrorMessage="1" sqref="I20 E12 D25:M25 G20 E20 D15:M15 G24 E24 D19:M19 I24 K42:K44 K20 M10:M12 G44 K24 I40 K10:K12 E44 I42:I44 H11 G12 J16:M16 E40 G40 K40 D21:M21 D27:M27 M40 M42:M44 M20 L10:L11 M24 D10:H10 J10:J11 I10:I12 D29:M29">
      <formula1>-10000000000</formula1>
      <formula2>10000000000</formula2>
    </dataValidation>
  </dataValidations>
  <pageMargins left="0.25" right="0.25" top="0.75" bottom="0.75" header="0.3" footer="0.3"/>
  <pageSetup scale="41" orientation="landscape" r:id="rId1"/>
  <headerFooter differentOddEven="1">
    <oddHeader>&amp;C&amp;"-,Bold"&amp;14&amp;F
&amp;D</oddHeader>
    <oddFooter>&amp;R&amp;F
&amp;D&amp;CSaudi Aramco: Confidential</oddFooter>
    <evenHeader>&amp;C&amp;"-,Bold"&amp;14&amp;F
&amp;D</evenHeader>
    <evenFooter>&amp;RPage &amp;P of &amp;N&amp;CSaudi Aramco: Confidential</evenFooter>
    <firstHeader>&amp;C&amp;"-,Bold"&amp;14&amp;F
&amp;D</firstHeader>
    <firstFooter>&amp;RPage &amp;P of &amp;N&amp;C&amp;"arial,Regular"&amp;11Saudi Aramco: Public</first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67"/>
  <sheetViews>
    <sheetView showGridLines="0" zoomScale="85" zoomScaleNormal="85" workbookViewId="0">
      <pane xSplit="7" ySplit="7" topLeftCell="H8" activePane="bottomRight" state="frozen"/>
      <selection activeCell="B1" sqref="B1"/>
      <selection pane="topRight" activeCell="G1" sqref="G1"/>
      <selection pane="bottomLeft" activeCell="B8" sqref="B8"/>
      <selection pane="bottomRight" activeCell="A8" sqref="A8"/>
    </sheetView>
  </sheetViews>
  <sheetFormatPr defaultColWidth="14.85546875" defaultRowHeight="15" x14ac:dyDescent="0.25"/>
  <cols>
    <col min="1" max="1" width="45.5703125" style="41" customWidth="1"/>
    <col min="2" max="2" width="45" style="41" hidden="1" customWidth="1"/>
    <col min="3" max="3" width="20.42578125" style="41" bestFit="1" customWidth="1"/>
    <col min="4" max="4" width="30.85546875" style="41" customWidth="1"/>
    <col min="5" max="5" width="41" style="41" customWidth="1"/>
    <col min="6" max="6" width="15.7109375" style="142" customWidth="1"/>
    <col min="7" max="7" width="18" style="41" customWidth="1"/>
    <col min="8" max="8" width="13.5703125" style="41" bestFit="1" customWidth="1"/>
    <col min="9" max="12" width="15.85546875" style="41" customWidth="1"/>
    <col min="13" max="13" width="13.5703125" style="41" bestFit="1" customWidth="1"/>
    <col min="14" max="16" width="15.85546875" style="41" customWidth="1"/>
    <col min="17" max="17" width="13.5703125" style="41" bestFit="1" customWidth="1"/>
    <col min="18" max="18" width="15.28515625" style="41" customWidth="1"/>
    <col min="19" max="22" width="15.85546875" style="41" customWidth="1"/>
    <col min="23" max="16384" width="14.85546875" style="41"/>
  </cols>
  <sheetData>
    <row r="1" spans="1:22" ht="26.25" x14ac:dyDescent="0.4">
      <c r="A1" s="483" t="str">
        <f>+'Page 1. Company Information'!$B$2</f>
        <v>Name of Company</v>
      </c>
      <c r="B1" s="483"/>
      <c r="C1" s="483"/>
      <c r="D1" s="483"/>
      <c r="E1" s="379"/>
      <c r="F1" s="143"/>
    </row>
    <row r="2" spans="1:22" ht="23.25" x14ac:dyDescent="0.35">
      <c r="A2" s="484" t="s">
        <v>89</v>
      </c>
      <c r="B2" s="484"/>
      <c r="C2" s="484"/>
      <c r="D2" s="484"/>
      <c r="E2" s="380"/>
      <c r="F2" s="145"/>
    </row>
    <row r="3" spans="1:22" ht="15.75" x14ac:dyDescent="0.25">
      <c r="A3" s="498"/>
      <c r="B3" s="498"/>
      <c r="C3" s="55"/>
      <c r="D3" s="56"/>
      <c r="E3" s="56"/>
      <c r="F3" s="278"/>
      <c r="G3" s="56"/>
      <c r="H3" s="56"/>
      <c r="M3" s="56"/>
      <c r="R3" s="56"/>
    </row>
    <row r="4" spans="1:22" ht="15.75" x14ac:dyDescent="0.25">
      <c r="A4" s="498" t="s">
        <v>4</v>
      </c>
      <c r="B4" s="498"/>
      <c r="C4" s="55"/>
      <c r="D4" s="55"/>
      <c r="E4" s="382"/>
      <c r="F4" s="278"/>
      <c r="G4" s="55"/>
      <c r="H4" s="286"/>
      <c r="M4" s="286"/>
      <c r="R4" s="231"/>
    </row>
    <row r="5" spans="1:22" ht="21" x14ac:dyDescent="0.3">
      <c r="A5" s="502" t="s">
        <v>121</v>
      </c>
      <c r="B5" s="502"/>
      <c r="C5" s="59"/>
    </row>
    <row r="6" spans="1:22" ht="21" x14ac:dyDescent="0.25">
      <c r="H6" s="501">
        <f>+'Page 1. Company Information'!B3-731</f>
        <v>42369</v>
      </c>
      <c r="I6" s="501"/>
      <c r="J6" s="501"/>
      <c r="K6" s="501"/>
      <c r="L6" s="501"/>
      <c r="M6" s="501">
        <f>+'Page 1. Company Information'!B3-365</f>
        <v>42735</v>
      </c>
      <c r="N6" s="501"/>
      <c r="O6" s="501"/>
      <c r="P6" s="501"/>
      <c r="Q6" s="501"/>
      <c r="R6" s="501">
        <f>+'Page 1. Company Information'!B3</f>
        <v>43100</v>
      </c>
      <c r="S6" s="501"/>
      <c r="T6" s="501"/>
      <c r="U6" s="501"/>
      <c r="V6" s="501"/>
    </row>
    <row r="7" spans="1:22" s="51" customFormat="1" ht="45" customHeight="1" x14ac:dyDescent="0.25">
      <c r="A7" s="412" t="s">
        <v>7</v>
      </c>
      <c r="B7" s="411"/>
      <c r="C7" s="60" t="s">
        <v>113</v>
      </c>
      <c r="D7" s="61" t="s">
        <v>74</v>
      </c>
      <c r="E7" s="61" t="s">
        <v>456</v>
      </c>
      <c r="F7" s="61" t="s">
        <v>223</v>
      </c>
      <c r="G7" s="61" t="s">
        <v>73</v>
      </c>
      <c r="H7" s="61" t="s">
        <v>365</v>
      </c>
      <c r="I7" s="61" t="s">
        <v>101</v>
      </c>
      <c r="J7" s="61" t="s">
        <v>8</v>
      </c>
      <c r="K7" s="61" t="s">
        <v>63</v>
      </c>
      <c r="L7" s="61" t="s">
        <v>366</v>
      </c>
      <c r="M7" s="61" t="s">
        <v>365</v>
      </c>
      <c r="N7" s="61" t="s">
        <v>101</v>
      </c>
      <c r="O7" s="61" t="s">
        <v>8</v>
      </c>
      <c r="P7" s="61" t="s">
        <v>63</v>
      </c>
      <c r="Q7" s="61" t="s">
        <v>366</v>
      </c>
      <c r="R7" s="61" t="s">
        <v>365</v>
      </c>
      <c r="S7" s="61" t="s">
        <v>101</v>
      </c>
      <c r="T7" s="61" t="s">
        <v>8</v>
      </c>
      <c r="U7" s="61" t="s">
        <v>63</v>
      </c>
      <c r="V7" s="61" t="s">
        <v>366</v>
      </c>
    </row>
    <row r="8" spans="1:22" ht="14.45" customHeight="1" x14ac:dyDescent="0.25">
      <c r="A8" s="413"/>
      <c r="B8" s="407"/>
      <c r="C8" s="34"/>
      <c r="D8" s="23"/>
      <c r="E8" s="23"/>
      <c r="F8" s="279"/>
      <c r="G8" s="279"/>
      <c r="H8" s="273">
        <f>IFERROR(+'Page 2. IKTVA Schedule'!H$10/SUM('Page 2. IKTVA Schedule'!I$10,'Page 2. IKTVA Schedule'!I$12),0)</f>
        <v>0</v>
      </c>
      <c r="I8" s="235">
        <v>0</v>
      </c>
      <c r="J8" s="273">
        <f>IF(ISBLANK(E8),0,IF(AND(F8="Imported",E8&lt;&gt;"Car Agency",E8&lt;&gt;"Tire Agency"),0,VLOOKUP(E8,'CAPEX Categories'!$A$36:$C$80,3,0)))</f>
        <v>0</v>
      </c>
      <c r="K8" s="53">
        <f>+J8*I8</f>
        <v>0</v>
      </c>
      <c r="L8" s="53">
        <f>+H8*K8</f>
        <v>0</v>
      </c>
      <c r="M8" s="273">
        <f>IFERROR(+'Page 2. IKTVA Schedule'!J$10/SUM('Page 2. IKTVA Schedule'!K$10,'Page 2. IKTVA Schedule'!K$12),0)</f>
        <v>0</v>
      </c>
      <c r="N8" s="235">
        <v>0</v>
      </c>
      <c r="O8" s="371">
        <f>J8</f>
        <v>0</v>
      </c>
      <c r="P8" s="53">
        <f>+O8*N8</f>
        <v>0</v>
      </c>
      <c r="Q8" s="53">
        <f>+M8*P8</f>
        <v>0</v>
      </c>
      <c r="R8" s="273">
        <f>IFERROR(+'Page 2. IKTVA Schedule'!L$10/SUM('Page 2. IKTVA Schedule'!M$10,'Page 2. IKTVA Schedule'!M$12),0)</f>
        <v>0</v>
      </c>
      <c r="S8" s="235">
        <v>0</v>
      </c>
      <c r="T8" s="371">
        <f>J8</f>
        <v>0</v>
      </c>
      <c r="U8" s="53">
        <f>+T8*S8</f>
        <v>0</v>
      </c>
      <c r="V8" s="53">
        <f>+R8*U8</f>
        <v>0</v>
      </c>
    </row>
    <row r="9" spans="1:22" ht="14.45" customHeight="1" x14ac:dyDescent="0.25">
      <c r="A9" s="414"/>
      <c r="B9" s="406"/>
      <c r="C9" s="35"/>
      <c r="D9" s="24"/>
      <c r="E9" s="24"/>
      <c r="F9" s="280"/>
      <c r="G9" s="280"/>
      <c r="H9" s="274">
        <f>IFERROR(+'Page 2. IKTVA Schedule'!H$10/SUM('Page 2. IKTVA Schedule'!I$10,'Page 2. IKTVA Schedule'!I$12),0)</f>
        <v>0</v>
      </c>
      <c r="I9" s="236">
        <v>0</v>
      </c>
      <c r="J9" s="274">
        <f>IF(ISBLANK(E9),0,IF(AND(F9="Imported",E9&lt;&gt;"Car Agency",E9&lt;&gt;"Tire Agency"),0,VLOOKUP(E9,'CAPEX Categories'!$A$36:$C$80,3,0)))</f>
        <v>0</v>
      </c>
      <c r="K9" s="54">
        <f t="shared" ref="K9:K61" si="0">+J9*I9</f>
        <v>0</v>
      </c>
      <c r="L9" s="54">
        <f t="shared" ref="L9:L61" si="1">+H9*K9</f>
        <v>0</v>
      </c>
      <c r="M9" s="274">
        <f>IFERROR(+'Page 2. IKTVA Schedule'!J$10/SUM('Page 2. IKTVA Schedule'!K$10,'Page 2. IKTVA Schedule'!K$12),0)</f>
        <v>0</v>
      </c>
      <c r="N9" s="236">
        <v>0</v>
      </c>
      <c r="O9" s="239">
        <f t="shared" ref="O9:O60" si="2">J9</f>
        <v>0</v>
      </c>
      <c r="P9" s="54">
        <f t="shared" ref="P9:P61" si="3">+O9*N9</f>
        <v>0</v>
      </c>
      <c r="Q9" s="54">
        <f t="shared" ref="Q9:Q61" si="4">+M9*P9</f>
        <v>0</v>
      </c>
      <c r="R9" s="274">
        <f>IFERROR(+'Page 2. IKTVA Schedule'!L$10/SUM('Page 2. IKTVA Schedule'!M$10,'Page 2. IKTVA Schedule'!M$12),0)</f>
        <v>0</v>
      </c>
      <c r="S9" s="236">
        <v>0</v>
      </c>
      <c r="T9" s="239">
        <f t="shared" ref="T9:T60" si="5">J9</f>
        <v>0</v>
      </c>
      <c r="U9" s="54">
        <f t="shared" ref="U9:U61" si="6">+T9*S9</f>
        <v>0</v>
      </c>
      <c r="V9" s="54">
        <f t="shared" ref="V9:V61" si="7">+R9*U9</f>
        <v>0</v>
      </c>
    </row>
    <row r="10" spans="1:22" ht="14.45" customHeight="1" x14ac:dyDescent="0.25">
      <c r="A10" s="413"/>
      <c r="B10" s="407"/>
      <c r="C10" s="34"/>
      <c r="D10" s="23"/>
      <c r="E10" s="23"/>
      <c r="F10" s="279"/>
      <c r="G10" s="279"/>
      <c r="H10" s="273">
        <f>IFERROR(+'Page 2. IKTVA Schedule'!H$10/SUM('Page 2. IKTVA Schedule'!I$10,'Page 2. IKTVA Schedule'!I$12),0)</f>
        <v>0</v>
      </c>
      <c r="I10" s="235">
        <v>0</v>
      </c>
      <c r="J10" s="273">
        <f>IF(ISBLANK(E10),0,IF(AND(F10="Imported",E10&lt;&gt;"Car Agency",E10&lt;&gt;"Tire Agency"),0,VLOOKUP(E10,'CAPEX Categories'!$A$36:$C$80,3,0)))</f>
        <v>0</v>
      </c>
      <c r="K10" s="53">
        <f t="shared" si="0"/>
        <v>0</v>
      </c>
      <c r="L10" s="53">
        <f t="shared" si="1"/>
        <v>0</v>
      </c>
      <c r="M10" s="273">
        <f>IFERROR(+'Page 2. IKTVA Schedule'!J$10/SUM('Page 2. IKTVA Schedule'!K$10,'Page 2. IKTVA Schedule'!K$12),0)</f>
        <v>0</v>
      </c>
      <c r="N10" s="235">
        <v>0</v>
      </c>
      <c r="O10" s="371">
        <f t="shared" si="2"/>
        <v>0</v>
      </c>
      <c r="P10" s="53">
        <f t="shared" si="3"/>
        <v>0</v>
      </c>
      <c r="Q10" s="53">
        <f t="shared" si="4"/>
        <v>0</v>
      </c>
      <c r="R10" s="273">
        <f>IFERROR(+'Page 2. IKTVA Schedule'!L$10/SUM('Page 2. IKTVA Schedule'!M$10,'Page 2. IKTVA Schedule'!M$12),0)</f>
        <v>0</v>
      </c>
      <c r="S10" s="235">
        <v>0</v>
      </c>
      <c r="T10" s="371">
        <f t="shared" si="5"/>
        <v>0</v>
      </c>
      <c r="U10" s="53">
        <f t="shared" si="6"/>
        <v>0</v>
      </c>
      <c r="V10" s="53">
        <f t="shared" si="7"/>
        <v>0</v>
      </c>
    </row>
    <row r="11" spans="1:22" ht="14.45" customHeight="1" x14ac:dyDescent="0.25">
      <c r="A11" s="414"/>
      <c r="B11" s="406"/>
      <c r="C11" s="35"/>
      <c r="D11" s="24"/>
      <c r="E11" s="24"/>
      <c r="F11" s="280"/>
      <c r="G11" s="280"/>
      <c r="H11" s="274">
        <f>IFERROR(+'Page 2. IKTVA Schedule'!H$10/SUM('Page 2. IKTVA Schedule'!I$10,'Page 2. IKTVA Schedule'!I$12),0)</f>
        <v>0</v>
      </c>
      <c r="I11" s="236">
        <v>0</v>
      </c>
      <c r="J11" s="274">
        <f>IF(ISBLANK(E11),0,IF(AND(F11="Imported",E11&lt;&gt;"Car Agency",E11&lt;&gt;"Tire Agency"),0,VLOOKUP(E11,'CAPEX Categories'!$A$36:$C$80,3,0)))</f>
        <v>0</v>
      </c>
      <c r="K11" s="54">
        <f t="shared" si="0"/>
        <v>0</v>
      </c>
      <c r="L11" s="54">
        <f t="shared" si="1"/>
        <v>0</v>
      </c>
      <c r="M11" s="274">
        <f>IFERROR(+'Page 2. IKTVA Schedule'!J$10/SUM('Page 2. IKTVA Schedule'!K$10,'Page 2. IKTVA Schedule'!K$12),0)</f>
        <v>0</v>
      </c>
      <c r="N11" s="236">
        <v>0</v>
      </c>
      <c r="O11" s="239">
        <f t="shared" si="2"/>
        <v>0</v>
      </c>
      <c r="P11" s="54">
        <f t="shared" si="3"/>
        <v>0</v>
      </c>
      <c r="Q11" s="54">
        <f t="shared" si="4"/>
        <v>0</v>
      </c>
      <c r="R11" s="274">
        <f>IFERROR(+'Page 2. IKTVA Schedule'!L$10/SUM('Page 2. IKTVA Schedule'!M$10,'Page 2. IKTVA Schedule'!M$12),0)</f>
        <v>0</v>
      </c>
      <c r="S11" s="236">
        <v>0</v>
      </c>
      <c r="T11" s="239">
        <f t="shared" si="5"/>
        <v>0</v>
      </c>
      <c r="U11" s="54">
        <f t="shared" si="6"/>
        <v>0</v>
      </c>
      <c r="V11" s="54">
        <f t="shared" si="7"/>
        <v>0</v>
      </c>
    </row>
    <row r="12" spans="1:22" ht="14.45" customHeight="1" x14ac:dyDescent="0.25">
      <c r="A12" s="413"/>
      <c r="B12" s="407"/>
      <c r="C12" s="34"/>
      <c r="D12" s="23"/>
      <c r="E12" s="23"/>
      <c r="F12" s="279"/>
      <c r="G12" s="279"/>
      <c r="H12" s="273">
        <f>IFERROR(+'Page 2. IKTVA Schedule'!H$10/SUM('Page 2. IKTVA Schedule'!I$10,'Page 2. IKTVA Schedule'!I$12),0)</f>
        <v>0</v>
      </c>
      <c r="I12" s="235">
        <v>0</v>
      </c>
      <c r="J12" s="273">
        <f>IF(ISBLANK(E12),0,IF(AND(F12="Imported",E12&lt;&gt;"Car Agency",E12&lt;&gt;"Tire Agency"),0,VLOOKUP(E12,'CAPEX Categories'!$A$36:$C$80,3,0)))</f>
        <v>0</v>
      </c>
      <c r="K12" s="53">
        <f t="shared" si="0"/>
        <v>0</v>
      </c>
      <c r="L12" s="53">
        <f t="shared" si="1"/>
        <v>0</v>
      </c>
      <c r="M12" s="273">
        <f>IFERROR(+'Page 2. IKTVA Schedule'!J$10/SUM('Page 2. IKTVA Schedule'!K$10,'Page 2. IKTVA Schedule'!K$12),0)</f>
        <v>0</v>
      </c>
      <c r="N12" s="235">
        <v>0</v>
      </c>
      <c r="O12" s="371">
        <f t="shared" si="2"/>
        <v>0</v>
      </c>
      <c r="P12" s="53">
        <f t="shared" si="3"/>
        <v>0</v>
      </c>
      <c r="Q12" s="53">
        <f t="shared" si="4"/>
        <v>0</v>
      </c>
      <c r="R12" s="273">
        <f>IFERROR(+'Page 2. IKTVA Schedule'!L$10/SUM('Page 2. IKTVA Schedule'!M$10,'Page 2. IKTVA Schedule'!M$12),0)</f>
        <v>0</v>
      </c>
      <c r="S12" s="235">
        <v>0</v>
      </c>
      <c r="T12" s="371">
        <f t="shared" si="5"/>
        <v>0</v>
      </c>
      <c r="U12" s="53">
        <f t="shared" si="6"/>
        <v>0</v>
      </c>
      <c r="V12" s="53">
        <f t="shared" si="7"/>
        <v>0</v>
      </c>
    </row>
    <row r="13" spans="1:22" ht="14.45" customHeight="1" x14ac:dyDescent="0.25">
      <c r="A13" s="414"/>
      <c r="B13" s="406"/>
      <c r="C13" s="35"/>
      <c r="D13" s="24"/>
      <c r="E13" s="24"/>
      <c r="F13" s="280"/>
      <c r="G13" s="280"/>
      <c r="H13" s="274">
        <f>IFERROR(+'Page 2. IKTVA Schedule'!H$10/SUM('Page 2. IKTVA Schedule'!I$10,'Page 2. IKTVA Schedule'!I$12),0)</f>
        <v>0</v>
      </c>
      <c r="I13" s="236">
        <v>0</v>
      </c>
      <c r="J13" s="274">
        <f>IF(ISBLANK(E13),0,IF(AND(F13="Imported",E13&lt;&gt;"Car Agency",E13&lt;&gt;"Tire Agency"),0,VLOOKUP(E13,'CAPEX Categories'!$A$36:$C$80,3,0)))</f>
        <v>0</v>
      </c>
      <c r="K13" s="54">
        <f t="shared" si="0"/>
        <v>0</v>
      </c>
      <c r="L13" s="54">
        <f t="shared" si="1"/>
        <v>0</v>
      </c>
      <c r="M13" s="274">
        <f>IFERROR(+'Page 2. IKTVA Schedule'!J$10/SUM('Page 2. IKTVA Schedule'!K$10,'Page 2. IKTVA Schedule'!K$12),0)</f>
        <v>0</v>
      </c>
      <c r="N13" s="236">
        <v>0</v>
      </c>
      <c r="O13" s="239">
        <f t="shared" si="2"/>
        <v>0</v>
      </c>
      <c r="P13" s="54">
        <f t="shared" si="3"/>
        <v>0</v>
      </c>
      <c r="Q13" s="54">
        <f t="shared" si="4"/>
        <v>0</v>
      </c>
      <c r="R13" s="274">
        <f>IFERROR(+'Page 2. IKTVA Schedule'!L$10/SUM('Page 2. IKTVA Schedule'!M$10,'Page 2. IKTVA Schedule'!M$12),0)</f>
        <v>0</v>
      </c>
      <c r="S13" s="236">
        <v>0</v>
      </c>
      <c r="T13" s="239">
        <f t="shared" si="5"/>
        <v>0</v>
      </c>
      <c r="U13" s="54">
        <f t="shared" si="6"/>
        <v>0</v>
      </c>
      <c r="V13" s="54">
        <f t="shared" si="7"/>
        <v>0</v>
      </c>
    </row>
    <row r="14" spans="1:22" ht="14.45" customHeight="1" x14ac:dyDescent="0.25">
      <c r="A14" s="413"/>
      <c r="B14" s="407"/>
      <c r="C14" s="34"/>
      <c r="D14" s="23"/>
      <c r="E14" s="23"/>
      <c r="F14" s="279"/>
      <c r="G14" s="279"/>
      <c r="H14" s="273">
        <f>IFERROR(+'Page 2. IKTVA Schedule'!H$10/SUM('Page 2. IKTVA Schedule'!I$10,'Page 2. IKTVA Schedule'!I$12),0)</f>
        <v>0</v>
      </c>
      <c r="I14" s="235">
        <v>0</v>
      </c>
      <c r="J14" s="273">
        <f>IF(ISBLANK(E14),0,IF(AND(F14="Imported",E14&lt;&gt;"Car Agency",E14&lt;&gt;"Tire Agency"),0,VLOOKUP(E14,'CAPEX Categories'!$A$36:$C$80,3,0)))</f>
        <v>0</v>
      </c>
      <c r="K14" s="53">
        <f t="shared" si="0"/>
        <v>0</v>
      </c>
      <c r="L14" s="53">
        <f t="shared" si="1"/>
        <v>0</v>
      </c>
      <c r="M14" s="273">
        <f>IFERROR(+'Page 2. IKTVA Schedule'!J$10/SUM('Page 2. IKTVA Schedule'!K$10,'Page 2. IKTVA Schedule'!K$12),0)</f>
        <v>0</v>
      </c>
      <c r="N14" s="235">
        <v>0</v>
      </c>
      <c r="O14" s="371">
        <f t="shared" si="2"/>
        <v>0</v>
      </c>
      <c r="P14" s="53">
        <f t="shared" si="3"/>
        <v>0</v>
      </c>
      <c r="Q14" s="53">
        <f t="shared" si="4"/>
        <v>0</v>
      </c>
      <c r="R14" s="273">
        <f>IFERROR(+'Page 2. IKTVA Schedule'!L$10/SUM('Page 2. IKTVA Schedule'!M$10,'Page 2. IKTVA Schedule'!M$12),0)</f>
        <v>0</v>
      </c>
      <c r="S14" s="235">
        <v>0</v>
      </c>
      <c r="T14" s="371">
        <f t="shared" si="5"/>
        <v>0</v>
      </c>
      <c r="U14" s="53">
        <f t="shared" si="6"/>
        <v>0</v>
      </c>
      <c r="V14" s="53">
        <f t="shared" si="7"/>
        <v>0</v>
      </c>
    </row>
    <row r="15" spans="1:22" ht="14.45" customHeight="1" x14ac:dyDescent="0.25">
      <c r="A15" s="414"/>
      <c r="B15" s="406"/>
      <c r="C15" s="35"/>
      <c r="D15" s="24"/>
      <c r="E15" s="24"/>
      <c r="F15" s="280"/>
      <c r="G15" s="280"/>
      <c r="H15" s="274">
        <f>IFERROR(+'Page 2. IKTVA Schedule'!H$10/SUM('Page 2. IKTVA Schedule'!I$10,'Page 2. IKTVA Schedule'!I$12),0)</f>
        <v>0</v>
      </c>
      <c r="I15" s="236">
        <v>0</v>
      </c>
      <c r="J15" s="274">
        <f>IF(ISBLANK(E15),0,IF(AND(F15="Imported",E15&lt;&gt;"Car Agency",E15&lt;&gt;"Tire Agency"),0,VLOOKUP(E15,'CAPEX Categories'!$A$36:$C$80,3,0)))</f>
        <v>0</v>
      </c>
      <c r="K15" s="54">
        <f t="shared" si="0"/>
        <v>0</v>
      </c>
      <c r="L15" s="54">
        <f t="shared" si="1"/>
        <v>0</v>
      </c>
      <c r="M15" s="274">
        <f>IFERROR(+'Page 2. IKTVA Schedule'!J$10/SUM('Page 2. IKTVA Schedule'!K$10,'Page 2. IKTVA Schedule'!K$12),0)</f>
        <v>0</v>
      </c>
      <c r="N15" s="236">
        <v>0</v>
      </c>
      <c r="O15" s="239">
        <f t="shared" si="2"/>
        <v>0</v>
      </c>
      <c r="P15" s="54">
        <f t="shared" si="3"/>
        <v>0</v>
      </c>
      <c r="Q15" s="54">
        <f t="shared" si="4"/>
        <v>0</v>
      </c>
      <c r="R15" s="274">
        <f>IFERROR(+'Page 2. IKTVA Schedule'!L$10/SUM('Page 2. IKTVA Schedule'!M$10,'Page 2. IKTVA Schedule'!M$12),0)</f>
        <v>0</v>
      </c>
      <c r="S15" s="236">
        <v>0</v>
      </c>
      <c r="T15" s="239">
        <f t="shared" si="5"/>
        <v>0</v>
      </c>
      <c r="U15" s="54">
        <f t="shared" si="6"/>
        <v>0</v>
      </c>
      <c r="V15" s="54">
        <f t="shared" si="7"/>
        <v>0</v>
      </c>
    </row>
    <row r="16" spans="1:22" ht="14.45" customHeight="1" x14ac:dyDescent="0.25">
      <c r="A16" s="413"/>
      <c r="B16" s="407"/>
      <c r="C16" s="34"/>
      <c r="D16" s="23"/>
      <c r="E16" s="23"/>
      <c r="F16" s="279"/>
      <c r="G16" s="279"/>
      <c r="H16" s="273">
        <f>IFERROR(+'Page 2. IKTVA Schedule'!H$10/SUM('Page 2. IKTVA Schedule'!I$10,'Page 2. IKTVA Schedule'!I$12),0)</f>
        <v>0</v>
      </c>
      <c r="I16" s="235">
        <v>0</v>
      </c>
      <c r="J16" s="273">
        <f>IF(ISBLANK(E16),0,IF(AND(F16="Imported",E16&lt;&gt;"Car Agency",E16&lt;&gt;"Tire Agency"),0,VLOOKUP(E16,'CAPEX Categories'!$A$36:$C$80,3,0)))</f>
        <v>0</v>
      </c>
      <c r="K16" s="53">
        <f t="shared" si="0"/>
        <v>0</v>
      </c>
      <c r="L16" s="53">
        <f t="shared" si="1"/>
        <v>0</v>
      </c>
      <c r="M16" s="273">
        <f>IFERROR(+'Page 2. IKTVA Schedule'!J$10/SUM('Page 2. IKTVA Schedule'!K$10,'Page 2. IKTVA Schedule'!K$12),0)</f>
        <v>0</v>
      </c>
      <c r="N16" s="235">
        <v>0</v>
      </c>
      <c r="O16" s="371">
        <f t="shared" si="2"/>
        <v>0</v>
      </c>
      <c r="P16" s="53">
        <f t="shared" si="3"/>
        <v>0</v>
      </c>
      <c r="Q16" s="53">
        <f t="shared" si="4"/>
        <v>0</v>
      </c>
      <c r="R16" s="273">
        <f>IFERROR(+'Page 2. IKTVA Schedule'!L$10/SUM('Page 2. IKTVA Schedule'!M$10,'Page 2. IKTVA Schedule'!M$12),0)</f>
        <v>0</v>
      </c>
      <c r="S16" s="235">
        <v>0</v>
      </c>
      <c r="T16" s="371">
        <f t="shared" si="5"/>
        <v>0</v>
      </c>
      <c r="U16" s="53">
        <f t="shared" si="6"/>
        <v>0</v>
      </c>
      <c r="V16" s="53">
        <f t="shared" si="7"/>
        <v>0</v>
      </c>
    </row>
    <row r="17" spans="1:22" ht="14.45" customHeight="1" x14ac:dyDescent="0.25">
      <c r="A17" s="414"/>
      <c r="B17" s="406"/>
      <c r="C17" s="35"/>
      <c r="D17" s="24"/>
      <c r="E17" s="24"/>
      <c r="F17" s="280"/>
      <c r="G17" s="280"/>
      <c r="H17" s="274">
        <f>IFERROR(+'Page 2. IKTVA Schedule'!H$10/SUM('Page 2. IKTVA Schedule'!I$10,'Page 2. IKTVA Schedule'!I$12),0)</f>
        <v>0</v>
      </c>
      <c r="I17" s="236">
        <v>0</v>
      </c>
      <c r="J17" s="274">
        <f>IF(ISBLANK(E17),0,IF(AND(F17="Imported",E17&lt;&gt;"Car Agency",E17&lt;&gt;"Tire Agency"),0,VLOOKUP(E17,'CAPEX Categories'!$A$36:$C$80,3,0)))</f>
        <v>0</v>
      </c>
      <c r="K17" s="54">
        <f t="shared" si="0"/>
        <v>0</v>
      </c>
      <c r="L17" s="54">
        <f t="shared" si="1"/>
        <v>0</v>
      </c>
      <c r="M17" s="274">
        <f>IFERROR(+'Page 2. IKTVA Schedule'!J$10/SUM('Page 2. IKTVA Schedule'!K$10,'Page 2. IKTVA Schedule'!K$12),0)</f>
        <v>0</v>
      </c>
      <c r="N17" s="236">
        <v>0</v>
      </c>
      <c r="O17" s="239">
        <f t="shared" si="2"/>
        <v>0</v>
      </c>
      <c r="P17" s="54">
        <f t="shared" si="3"/>
        <v>0</v>
      </c>
      <c r="Q17" s="54">
        <f t="shared" si="4"/>
        <v>0</v>
      </c>
      <c r="R17" s="274">
        <f>IFERROR(+'Page 2. IKTVA Schedule'!L$10/SUM('Page 2. IKTVA Schedule'!M$10,'Page 2. IKTVA Schedule'!M$12),0)</f>
        <v>0</v>
      </c>
      <c r="S17" s="236">
        <v>0</v>
      </c>
      <c r="T17" s="239">
        <f t="shared" si="5"/>
        <v>0</v>
      </c>
      <c r="U17" s="54">
        <f t="shared" si="6"/>
        <v>0</v>
      </c>
      <c r="V17" s="54">
        <f t="shared" si="7"/>
        <v>0</v>
      </c>
    </row>
    <row r="18" spans="1:22" ht="14.45" customHeight="1" x14ac:dyDescent="0.25">
      <c r="A18" s="413"/>
      <c r="B18" s="407"/>
      <c r="C18" s="34"/>
      <c r="D18" s="23"/>
      <c r="E18" s="23"/>
      <c r="F18" s="279"/>
      <c r="G18" s="279"/>
      <c r="H18" s="273">
        <f>IFERROR(+'Page 2. IKTVA Schedule'!H$10/SUM('Page 2. IKTVA Schedule'!I$10,'Page 2. IKTVA Schedule'!I$12),0)</f>
        <v>0</v>
      </c>
      <c r="I18" s="235">
        <v>0</v>
      </c>
      <c r="J18" s="273">
        <f>IF(ISBLANK(E18),0,IF(AND(F18="Imported",E18&lt;&gt;"Car Agency",E18&lt;&gt;"Tire Agency"),0,VLOOKUP(E18,'CAPEX Categories'!$A$36:$C$80,3,0)))</f>
        <v>0</v>
      </c>
      <c r="K18" s="53">
        <f t="shared" si="0"/>
        <v>0</v>
      </c>
      <c r="L18" s="53">
        <f t="shared" si="1"/>
        <v>0</v>
      </c>
      <c r="M18" s="273">
        <f>IFERROR(+'Page 2. IKTVA Schedule'!J$10/SUM('Page 2. IKTVA Schedule'!K$10,'Page 2. IKTVA Schedule'!K$12),0)</f>
        <v>0</v>
      </c>
      <c r="N18" s="235">
        <v>0</v>
      </c>
      <c r="O18" s="371">
        <f t="shared" si="2"/>
        <v>0</v>
      </c>
      <c r="P18" s="53">
        <f t="shared" si="3"/>
        <v>0</v>
      </c>
      <c r="Q18" s="53">
        <f t="shared" si="4"/>
        <v>0</v>
      </c>
      <c r="R18" s="273">
        <f>IFERROR(+'Page 2. IKTVA Schedule'!L$10/SUM('Page 2. IKTVA Schedule'!M$10,'Page 2. IKTVA Schedule'!M$12),0)</f>
        <v>0</v>
      </c>
      <c r="S18" s="235">
        <v>0</v>
      </c>
      <c r="T18" s="371">
        <f t="shared" si="5"/>
        <v>0</v>
      </c>
      <c r="U18" s="53">
        <f t="shared" si="6"/>
        <v>0</v>
      </c>
      <c r="V18" s="53">
        <f t="shared" si="7"/>
        <v>0</v>
      </c>
    </row>
    <row r="19" spans="1:22" ht="14.45" customHeight="1" x14ac:dyDescent="0.25">
      <c r="A19" s="414"/>
      <c r="B19" s="406"/>
      <c r="C19" s="35"/>
      <c r="D19" s="24"/>
      <c r="E19" s="24"/>
      <c r="F19" s="280"/>
      <c r="G19" s="280"/>
      <c r="H19" s="274">
        <f>IFERROR(+'Page 2. IKTVA Schedule'!H$10/SUM('Page 2. IKTVA Schedule'!I$10,'Page 2. IKTVA Schedule'!I$12),0)</f>
        <v>0</v>
      </c>
      <c r="I19" s="236">
        <v>0</v>
      </c>
      <c r="J19" s="274">
        <f>IF(ISBLANK(E19),0,IF(AND(F19="Imported",E19&lt;&gt;"Car Agency",E19&lt;&gt;"Tire Agency"),0,VLOOKUP(E19,'CAPEX Categories'!$A$36:$C$80,3,0)))</f>
        <v>0</v>
      </c>
      <c r="K19" s="54">
        <f t="shared" si="0"/>
        <v>0</v>
      </c>
      <c r="L19" s="54">
        <f t="shared" si="1"/>
        <v>0</v>
      </c>
      <c r="M19" s="274">
        <f>IFERROR(+'Page 2. IKTVA Schedule'!J$10/SUM('Page 2. IKTVA Schedule'!K$10,'Page 2. IKTVA Schedule'!K$12),0)</f>
        <v>0</v>
      </c>
      <c r="N19" s="236">
        <v>0</v>
      </c>
      <c r="O19" s="239">
        <f t="shared" si="2"/>
        <v>0</v>
      </c>
      <c r="P19" s="54">
        <f t="shared" si="3"/>
        <v>0</v>
      </c>
      <c r="Q19" s="54">
        <f t="shared" si="4"/>
        <v>0</v>
      </c>
      <c r="R19" s="274">
        <f>IFERROR(+'Page 2. IKTVA Schedule'!L$10/SUM('Page 2. IKTVA Schedule'!M$10,'Page 2. IKTVA Schedule'!M$12),0)</f>
        <v>0</v>
      </c>
      <c r="S19" s="236">
        <v>0</v>
      </c>
      <c r="T19" s="239">
        <f t="shared" si="5"/>
        <v>0</v>
      </c>
      <c r="U19" s="54">
        <f t="shared" si="6"/>
        <v>0</v>
      </c>
      <c r="V19" s="54">
        <f t="shared" si="7"/>
        <v>0</v>
      </c>
    </row>
    <row r="20" spans="1:22" ht="14.45" customHeight="1" x14ac:dyDescent="0.25">
      <c r="A20" s="413"/>
      <c r="B20" s="407"/>
      <c r="C20" s="34"/>
      <c r="D20" s="23"/>
      <c r="E20" s="23"/>
      <c r="F20" s="279"/>
      <c r="G20" s="279"/>
      <c r="H20" s="273">
        <f>IFERROR(+'Page 2. IKTVA Schedule'!H$10/SUM('Page 2. IKTVA Schedule'!I$10,'Page 2. IKTVA Schedule'!I$12),0)</f>
        <v>0</v>
      </c>
      <c r="I20" s="235">
        <v>0</v>
      </c>
      <c r="J20" s="273">
        <f>IF(ISBLANK(E20),0,IF(AND(F20="Imported",E20&lt;&gt;"Car Agency",E20&lt;&gt;"Tire Agency"),0,VLOOKUP(E20,'CAPEX Categories'!$A$36:$C$80,3,0)))</f>
        <v>0</v>
      </c>
      <c r="K20" s="53">
        <f t="shared" si="0"/>
        <v>0</v>
      </c>
      <c r="L20" s="53">
        <f t="shared" si="1"/>
        <v>0</v>
      </c>
      <c r="M20" s="273">
        <f>IFERROR(+'Page 2. IKTVA Schedule'!J$10/SUM('Page 2. IKTVA Schedule'!K$10,'Page 2. IKTVA Schedule'!K$12),0)</f>
        <v>0</v>
      </c>
      <c r="N20" s="235">
        <v>0</v>
      </c>
      <c r="O20" s="371">
        <f t="shared" si="2"/>
        <v>0</v>
      </c>
      <c r="P20" s="53">
        <f t="shared" si="3"/>
        <v>0</v>
      </c>
      <c r="Q20" s="53">
        <f t="shared" si="4"/>
        <v>0</v>
      </c>
      <c r="R20" s="273">
        <f>IFERROR(+'Page 2. IKTVA Schedule'!L$10/SUM('Page 2. IKTVA Schedule'!M$10,'Page 2. IKTVA Schedule'!M$12),0)</f>
        <v>0</v>
      </c>
      <c r="S20" s="235">
        <v>0</v>
      </c>
      <c r="T20" s="371">
        <f t="shared" si="5"/>
        <v>0</v>
      </c>
      <c r="U20" s="53">
        <f t="shared" si="6"/>
        <v>0</v>
      </c>
      <c r="V20" s="53">
        <f t="shared" si="7"/>
        <v>0</v>
      </c>
    </row>
    <row r="21" spans="1:22" ht="14.45" customHeight="1" x14ac:dyDescent="0.25">
      <c r="A21" s="414"/>
      <c r="B21" s="406"/>
      <c r="C21" s="35"/>
      <c r="D21" s="24"/>
      <c r="E21" s="24"/>
      <c r="F21" s="280"/>
      <c r="G21" s="280"/>
      <c r="H21" s="274">
        <f>IFERROR(+'Page 2. IKTVA Schedule'!H$10/SUM('Page 2. IKTVA Schedule'!I$10,'Page 2. IKTVA Schedule'!I$12),0)</f>
        <v>0</v>
      </c>
      <c r="I21" s="236">
        <v>0</v>
      </c>
      <c r="J21" s="274">
        <f>IF(ISBLANK(E21),0,IF(AND(F21="Imported",E21&lt;&gt;"Car Agency",E21&lt;&gt;"Tire Agency"),0,VLOOKUP(E21,'CAPEX Categories'!$A$36:$C$80,3,0)))</f>
        <v>0</v>
      </c>
      <c r="K21" s="54">
        <f t="shared" si="0"/>
        <v>0</v>
      </c>
      <c r="L21" s="54">
        <f t="shared" si="1"/>
        <v>0</v>
      </c>
      <c r="M21" s="274">
        <f>IFERROR(+'Page 2. IKTVA Schedule'!J$10/SUM('Page 2. IKTVA Schedule'!K$10,'Page 2. IKTVA Schedule'!K$12),0)</f>
        <v>0</v>
      </c>
      <c r="N21" s="236">
        <v>0</v>
      </c>
      <c r="O21" s="239">
        <f t="shared" si="2"/>
        <v>0</v>
      </c>
      <c r="P21" s="54">
        <f t="shared" si="3"/>
        <v>0</v>
      </c>
      <c r="Q21" s="54">
        <f t="shared" si="4"/>
        <v>0</v>
      </c>
      <c r="R21" s="274">
        <f>IFERROR(+'Page 2. IKTVA Schedule'!L$10/SUM('Page 2. IKTVA Schedule'!M$10,'Page 2. IKTVA Schedule'!M$12),0)</f>
        <v>0</v>
      </c>
      <c r="S21" s="236">
        <v>0</v>
      </c>
      <c r="T21" s="239">
        <f t="shared" si="5"/>
        <v>0</v>
      </c>
      <c r="U21" s="54">
        <f t="shared" si="6"/>
        <v>0</v>
      </c>
      <c r="V21" s="54">
        <f t="shared" si="7"/>
        <v>0</v>
      </c>
    </row>
    <row r="22" spans="1:22" ht="14.45" customHeight="1" x14ac:dyDescent="0.25">
      <c r="A22" s="413"/>
      <c r="B22" s="407"/>
      <c r="C22" s="34"/>
      <c r="D22" s="23"/>
      <c r="E22" s="23"/>
      <c r="F22" s="279"/>
      <c r="G22" s="279"/>
      <c r="H22" s="273">
        <f>IFERROR(+'Page 2. IKTVA Schedule'!H$10/SUM('Page 2. IKTVA Schedule'!I$10,'Page 2. IKTVA Schedule'!I$12),0)</f>
        <v>0</v>
      </c>
      <c r="I22" s="235">
        <v>0</v>
      </c>
      <c r="J22" s="273">
        <f>IF(ISBLANK(E22),0,IF(AND(F22="Imported",E22&lt;&gt;"Car Agency",E22&lt;&gt;"Tire Agency"),0,VLOOKUP(E22,'CAPEX Categories'!$A$36:$C$80,3,0)))</f>
        <v>0</v>
      </c>
      <c r="K22" s="53">
        <f t="shared" si="0"/>
        <v>0</v>
      </c>
      <c r="L22" s="53">
        <f t="shared" si="1"/>
        <v>0</v>
      </c>
      <c r="M22" s="273">
        <f>IFERROR(+'Page 2. IKTVA Schedule'!J$10/SUM('Page 2. IKTVA Schedule'!K$10,'Page 2. IKTVA Schedule'!K$12),0)</f>
        <v>0</v>
      </c>
      <c r="N22" s="235">
        <v>0</v>
      </c>
      <c r="O22" s="371">
        <f t="shared" si="2"/>
        <v>0</v>
      </c>
      <c r="P22" s="53">
        <f t="shared" si="3"/>
        <v>0</v>
      </c>
      <c r="Q22" s="53">
        <f t="shared" si="4"/>
        <v>0</v>
      </c>
      <c r="R22" s="273">
        <f>IFERROR(+'Page 2. IKTVA Schedule'!L$10/SUM('Page 2. IKTVA Schedule'!M$10,'Page 2. IKTVA Schedule'!M$12),0)</f>
        <v>0</v>
      </c>
      <c r="S22" s="235">
        <v>0</v>
      </c>
      <c r="T22" s="371">
        <f t="shared" si="5"/>
        <v>0</v>
      </c>
      <c r="U22" s="53">
        <f t="shared" si="6"/>
        <v>0</v>
      </c>
      <c r="V22" s="53">
        <f t="shared" si="7"/>
        <v>0</v>
      </c>
    </row>
    <row r="23" spans="1:22" ht="14.45" customHeight="1" x14ac:dyDescent="0.25">
      <c r="A23" s="414"/>
      <c r="B23" s="406"/>
      <c r="C23" s="35"/>
      <c r="D23" s="24"/>
      <c r="E23" s="24"/>
      <c r="F23" s="280"/>
      <c r="G23" s="280"/>
      <c r="H23" s="274">
        <f>IFERROR(+'Page 2. IKTVA Schedule'!H$10/SUM('Page 2. IKTVA Schedule'!I$10,'Page 2. IKTVA Schedule'!I$12),0)</f>
        <v>0</v>
      </c>
      <c r="I23" s="236">
        <v>0</v>
      </c>
      <c r="J23" s="274">
        <f>IF(ISBLANK(E23),0,IF(AND(F23="Imported",E23&lt;&gt;"Car Agency",E23&lt;&gt;"Tire Agency"),0,VLOOKUP(E23,'CAPEX Categories'!$A$36:$C$80,3,0)))</f>
        <v>0</v>
      </c>
      <c r="K23" s="54">
        <f t="shared" si="0"/>
        <v>0</v>
      </c>
      <c r="L23" s="54">
        <f t="shared" si="1"/>
        <v>0</v>
      </c>
      <c r="M23" s="274">
        <f>IFERROR(+'Page 2. IKTVA Schedule'!J$10/SUM('Page 2. IKTVA Schedule'!K$10,'Page 2. IKTVA Schedule'!K$12),0)</f>
        <v>0</v>
      </c>
      <c r="N23" s="236">
        <v>0</v>
      </c>
      <c r="O23" s="239">
        <f t="shared" si="2"/>
        <v>0</v>
      </c>
      <c r="P23" s="54">
        <f t="shared" si="3"/>
        <v>0</v>
      </c>
      <c r="Q23" s="54">
        <f t="shared" si="4"/>
        <v>0</v>
      </c>
      <c r="R23" s="274">
        <f>IFERROR(+'Page 2. IKTVA Schedule'!L$10/SUM('Page 2. IKTVA Schedule'!M$10,'Page 2. IKTVA Schedule'!M$12),0)</f>
        <v>0</v>
      </c>
      <c r="S23" s="236">
        <v>0</v>
      </c>
      <c r="T23" s="239">
        <f t="shared" si="5"/>
        <v>0</v>
      </c>
      <c r="U23" s="54">
        <f t="shared" si="6"/>
        <v>0</v>
      </c>
      <c r="V23" s="54">
        <f t="shared" si="7"/>
        <v>0</v>
      </c>
    </row>
    <row r="24" spans="1:22" ht="14.45" customHeight="1" x14ac:dyDescent="0.25">
      <c r="A24" s="413"/>
      <c r="B24" s="407"/>
      <c r="C24" s="34"/>
      <c r="D24" s="23"/>
      <c r="E24" s="23"/>
      <c r="F24" s="279"/>
      <c r="G24" s="279"/>
      <c r="H24" s="273">
        <f>IFERROR(+'Page 2. IKTVA Schedule'!H$10/SUM('Page 2. IKTVA Schedule'!I$10,'Page 2. IKTVA Schedule'!I$12),0)</f>
        <v>0</v>
      </c>
      <c r="I24" s="235">
        <v>0</v>
      </c>
      <c r="J24" s="273">
        <f>IF(ISBLANK(E24),0,IF(AND(F24="Imported",E24&lt;&gt;"Car Agency",E24&lt;&gt;"Tire Agency"),0,VLOOKUP(E24,'CAPEX Categories'!$A$36:$C$80,3,0)))</f>
        <v>0</v>
      </c>
      <c r="K24" s="53">
        <f t="shared" si="0"/>
        <v>0</v>
      </c>
      <c r="L24" s="53">
        <f t="shared" si="1"/>
        <v>0</v>
      </c>
      <c r="M24" s="273">
        <f>IFERROR(+'Page 2. IKTVA Schedule'!J$10/SUM('Page 2. IKTVA Schedule'!K$10,'Page 2. IKTVA Schedule'!K$12),0)</f>
        <v>0</v>
      </c>
      <c r="N24" s="235">
        <v>0</v>
      </c>
      <c r="O24" s="371">
        <f t="shared" si="2"/>
        <v>0</v>
      </c>
      <c r="P24" s="53">
        <f t="shared" si="3"/>
        <v>0</v>
      </c>
      <c r="Q24" s="53">
        <f t="shared" si="4"/>
        <v>0</v>
      </c>
      <c r="R24" s="273">
        <f>IFERROR(+'Page 2. IKTVA Schedule'!L$10/SUM('Page 2. IKTVA Schedule'!M$10,'Page 2. IKTVA Schedule'!M$12),0)</f>
        <v>0</v>
      </c>
      <c r="S24" s="235">
        <v>0</v>
      </c>
      <c r="T24" s="371">
        <f t="shared" si="5"/>
        <v>0</v>
      </c>
      <c r="U24" s="53">
        <f t="shared" si="6"/>
        <v>0</v>
      </c>
      <c r="V24" s="53">
        <f t="shared" si="7"/>
        <v>0</v>
      </c>
    </row>
    <row r="25" spans="1:22" ht="14.45" customHeight="1" x14ac:dyDescent="0.25">
      <c r="A25" s="414"/>
      <c r="B25" s="406"/>
      <c r="C25" s="35"/>
      <c r="D25" s="24"/>
      <c r="E25" s="24"/>
      <c r="F25" s="280"/>
      <c r="G25" s="280"/>
      <c r="H25" s="274">
        <f>IFERROR(+'Page 2. IKTVA Schedule'!H$10/SUM('Page 2. IKTVA Schedule'!I$10,'Page 2. IKTVA Schedule'!I$12),0)</f>
        <v>0</v>
      </c>
      <c r="I25" s="236">
        <v>0</v>
      </c>
      <c r="J25" s="274">
        <f>IF(ISBLANK(E25),0,IF(AND(F25="Imported",E25&lt;&gt;"Car Agency",E25&lt;&gt;"Tire Agency"),0,VLOOKUP(E25,'CAPEX Categories'!$A$36:$C$80,3,0)))</f>
        <v>0</v>
      </c>
      <c r="K25" s="54">
        <f t="shared" si="0"/>
        <v>0</v>
      </c>
      <c r="L25" s="54">
        <f t="shared" si="1"/>
        <v>0</v>
      </c>
      <c r="M25" s="274">
        <f>IFERROR(+'Page 2. IKTVA Schedule'!J$10/SUM('Page 2. IKTVA Schedule'!K$10,'Page 2. IKTVA Schedule'!K$12),0)</f>
        <v>0</v>
      </c>
      <c r="N25" s="236">
        <v>0</v>
      </c>
      <c r="O25" s="239">
        <f t="shared" si="2"/>
        <v>0</v>
      </c>
      <c r="P25" s="54">
        <f t="shared" si="3"/>
        <v>0</v>
      </c>
      <c r="Q25" s="54">
        <f t="shared" si="4"/>
        <v>0</v>
      </c>
      <c r="R25" s="274">
        <f>IFERROR(+'Page 2. IKTVA Schedule'!L$10/SUM('Page 2. IKTVA Schedule'!M$10,'Page 2. IKTVA Schedule'!M$12),0)</f>
        <v>0</v>
      </c>
      <c r="S25" s="236">
        <v>0</v>
      </c>
      <c r="T25" s="239">
        <f t="shared" si="5"/>
        <v>0</v>
      </c>
      <c r="U25" s="54">
        <f t="shared" si="6"/>
        <v>0</v>
      </c>
      <c r="V25" s="54">
        <f t="shared" si="7"/>
        <v>0</v>
      </c>
    </row>
    <row r="26" spans="1:22" ht="14.45" customHeight="1" x14ac:dyDescent="0.25">
      <c r="A26" s="413"/>
      <c r="B26" s="407"/>
      <c r="C26" s="34"/>
      <c r="D26" s="23"/>
      <c r="E26" s="23"/>
      <c r="F26" s="279"/>
      <c r="G26" s="279"/>
      <c r="H26" s="273">
        <f>IFERROR(+'Page 2. IKTVA Schedule'!H$10/SUM('Page 2. IKTVA Schedule'!I$10,'Page 2. IKTVA Schedule'!I$12),0)</f>
        <v>0</v>
      </c>
      <c r="I26" s="235">
        <v>0</v>
      </c>
      <c r="J26" s="273">
        <f>IF(ISBLANK(E26),0,IF(AND(F26="Imported",E26&lt;&gt;"Car Agency",E26&lt;&gt;"Tire Agency"),0,VLOOKUP(E26,'CAPEX Categories'!$A$36:$C$80,3,0)))</f>
        <v>0</v>
      </c>
      <c r="K26" s="53">
        <f t="shared" si="0"/>
        <v>0</v>
      </c>
      <c r="L26" s="53">
        <f t="shared" si="1"/>
        <v>0</v>
      </c>
      <c r="M26" s="273">
        <f>IFERROR(+'Page 2. IKTVA Schedule'!J$10/SUM('Page 2. IKTVA Schedule'!K$10,'Page 2. IKTVA Schedule'!K$12),0)</f>
        <v>0</v>
      </c>
      <c r="N26" s="235">
        <v>0</v>
      </c>
      <c r="O26" s="371">
        <f t="shared" si="2"/>
        <v>0</v>
      </c>
      <c r="P26" s="53">
        <f t="shared" si="3"/>
        <v>0</v>
      </c>
      <c r="Q26" s="53">
        <f t="shared" si="4"/>
        <v>0</v>
      </c>
      <c r="R26" s="273">
        <f>IFERROR(+'Page 2. IKTVA Schedule'!L$10/SUM('Page 2. IKTVA Schedule'!M$10,'Page 2. IKTVA Schedule'!M$12),0)</f>
        <v>0</v>
      </c>
      <c r="S26" s="235">
        <v>0</v>
      </c>
      <c r="T26" s="371">
        <f t="shared" si="5"/>
        <v>0</v>
      </c>
      <c r="U26" s="53">
        <f t="shared" si="6"/>
        <v>0</v>
      </c>
      <c r="V26" s="53">
        <f t="shared" si="7"/>
        <v>0</v>
      </c>
    </row>
    <row r="27" spans="1:22" ht="14.45" customHeight="1" x14ac:dyDescent="0.25">
      <c r="A27" s="414"/>
      <c r="B27" s="406"/>
      <c r="C27" s="35"/>
      <c r="D27" s="24"/>
      <c r="E27" s="24"/>
      <c r="F27" s="280"/>
      <c r="G27" s="280"/>
      <c r="H27" s="274">
        <f>IFERROR(+'Page 2. IKTVA Schedule'!H$10/SUM('Page 2. IKTVA Schedule'!I$10,'Page 2. IKTVA Schedule'!I$12),0)</f>
        <v>0</v>
      </c>
      <c r="I27" s="236">
        <v>0</v>
      </c>
      <c r="J27" s="274">
        <f>IF(ISBLANK(E27),0,IF(AND(F27="Imported",E27&lt;&gt;"Car Agency",E27&lt;&gt;"Tire Agency"),0,VLOOKUP(E27,'CAPEX Categories'!$A$36:$C$80,3,0)))</f>
        <v>0</v>
      </c>
      <c r="K27" s="54">
        <f t="shared" si="0"/>
        <v>0</v>
      </c>
      <c r="L27" s="54">
        <f t="shared" si="1"/>
        <v>0</v>
      </c>
      <c r="M27" s="274">
        <f>IFERROR(+'Page 2. IKTVA Schedule'!J$10/SUM('Page 2. IKTVA Schedule'!K$10,'Page 2. IKTVA Schedule'!K$12),0)</f>
        <v>0</v>
      </c>
      <c r="N27" s="236">
        <v>0</v>
      </c>
      <c r="O27" s="239">
        <f t="shared" si="2"/>
        <v>0</v>
      </c>
      <c r="P27" s="54">
        <f t="shared" si="3"/>
        <v>0</v>
      </c>
      <c r="Q27" s="54">
        <f t="shared" si="4"/>
        <v>0</v>
      </c>
      <c r="R27" s="274">
        <f>IFERROR(+'Page 2. IKTVA Schedule'!L$10/SUM('Page 2. IKTVA Schedule'!M$10,'Page 2. IKTVA Schedule'!M$12),0)</f>
        <v>0</v>
      </c>
      <c r="S27" s="236">
        <v>0</v>
      </c>
      <c r="T27" s="239">
        <f t="shared" si="5"/>
        <v>0</v>
      </c>
      <c r="U27" s="54">
        <f t="shared" si="6"/>
        <v>0</v>
      </c>
      <c r="V27" s="54">
        <f t="shared" si="7"/>
        <v>0</v>
      </c>
    </row>
    <row r="28" spans="1:22" ht="14.45" customHeight="1" x14ac:dyDescent="0.25">
      <c r="A28" s="413"/>
      <c r="B28" s="407"/>
      <c r="C28" s="34"/>
      <c r="D28" s="23"/>
      <c r="E28" s="23"/>
      <c r="F28" s="279"/>
      <c r="G28" s="279"/>
      <c r="H28" s="273">
        <f>IFERROR(+'Page 2. IKTVA Schedule'!H$10/SUM('Page 2. IKTVA Schedule'!I$10,'Page 2. IKTVA Schedule'!I$12),0)</f>
        <v>0</v>
      </c>
      <c r="I28" s="235">
        <v>0</v>
      </c>
      <c r="J28" s="273">
        <f>IF(ISBLANK(E28),0,IF(AND(F28="Imported",E28&lt;&gt;"Car Agency",E28&lt;&gt;"Tire Agency"),0,VLOOKUP(E28,'CAPEX Categories'!$A$36:$C$80,3,0)))</f>
        <v>0</v>
      </c>
      <c r="K28" s="53">
        <f t="shared" si="0"/>
        <v>0</v>
      </c>
      <c r="L28" s="53">
        <f t="shared" si="1"/>
        <v>0</v>
      </c>
      <c r="M28" s="273">
        <f>IFERROR(+'Page 2. IKTVA Schedule'!J$10/SUM('Page 2. IKTVA Schedule'!K$10,'Page 2. IKTVA Schedule'!K$12),0)</f>
        <v>0</v>
      </c>
      <c r="N28" s="235">
        <v>0</v>
      </c>
      <c r="O28" s="371">
        <f t="shared" si="2"/>
        <v>0</v>
      </c>
      <c r="P28" s="53">
        <f t="shared" si="3"/>
        <v>0</v>
      </c>
      <c r="Q28" s="53">
        <f t="shared" si="4"/>
        <v>0</v>
      </c>
      <c r="R28" s="273">
        <f>IFERROR(+'Page 2. IKTVA Schedule'!L$10/SUM('Page 2. IKTVA Schedule'!M$10,'Page 2. IKTVA Schedule'!M$12),0)</f>
        <v>0</v>
      </c>
      <c r="S28" s="235">
        <v>0</v>
      </c>
      <c r="T28" s="371">
        <f t="shared" si="5"/>
        <v>0</v>
      </c>
      <c r="U28" s="53">
        <f t="shared" si="6"/>
        <v>0</v>
      </c>
      <c r="V28" s="53">
        <f t="shared" si="7"/>
        <v>0</v>
      </c>
    </row>
    <row r="29" spans="1:22" ht="14.45" customHeight="1" x14ac:dyDescent="0.25">
      <c r="A29" s="414"/>
      <c r="B29" s="406"/>
      <c r="C29" s="35"/>
      <c r="D29" s="24"/>
      <c r="E29" s="24"/>
      <c r="F29" s="280"/>
      <c r="G29" s="280"/>
      <c r="H29" s="274">
        <f>IFERROR(+'Page 2. IKTVA Schedule'!H$10/SUM('Page 2. IKTVA Schedule'!I$10,'Page 2. IKTVA Schedule'!I$12),0)</f>
        <v>0</v>
      </c>
      <c r="I29" s="236">
        <v>0</v>
      </c>
      <c r="J29" s="274">
        <f>IF(ISBLANK(E29),0,IF(AND(F29="Imported",E29&lt;&gt;"Car Agency",E29&lt;&gt;"Tire Agency"),0,VLOOKUP(E29,'CAPEX Categories'!$A$36:$C$80,3,0)))</f>
        <v>0</v>
      </c>
      <c r="K29" s="54">
        <f t="shared" si="0"/>
        <v>0</v>
      </c>
      <c r="L29" s="54">
        <f t="shared" si="1"/>
        <v>0</v>
      </c>
      <c r="M29" s="274">
        <f>IFERROR(+'Page 2. IKTVA Schedule'!J$10/SUM('Page 2. IKTVA Schedule'!K$10,'Page 2. IKTVA Schedule'!K$12),0)</f>
        <v>0</v>
      </c>
      <c r="N29" s="236">
        <v>0</v>
      </c>
      <c r="O29" s="239">
        <f t="shared" si="2"/>
        <v>0</v>
      </c>
      <c r="P29" s="54">
        <f t="shared" si="3"/>
        <v>0</v>
      </c>
      <c r="Q29" s="54">
        <f t="shared" si="4"/>
        <v>0</v>
      </c>
      <c r="R29" s="274">
        <f>IFERROR(+'Page 2. IKTVA Schedule'!L$10/SUM('Page 2. IKTVA Schedule'!M$10,'Page 2. IKTVA Schedule'!M$12),0)</f>
        <v>0</v>
      </c>
      <c r="S29" s="236">
        <v>0</v>
      </c>
      <c r="T29" s="239">
        <f t="shared" si="5"/>
        <v>0</v>
      </c>
      <c r="U29" s="54">
        <f t="shared" si="6"/>
        <v>0</v>
      </c>
      <c r="V29" s="54">
        <f t="shared" si="7"/>
        <v>0</v>
      </c>
    </row>
    <row r="30" spans="1:22" ht="14.45" customHeight="1" x14ac:dyDescent="0.25">
      <c r="A30" s="413"/>
      <c r="B30" s="407"/>
      <c r="C30" s="34"/>
      <c r="D30" s="23"/>
      <c r="E30" s="23"/>
      <c r="F30" s="279"/>
      <c r="G30" s="279"/>
      <c r="H30" s="273">
        <f>IFERROR(+'Page 2. IKTVA Schedule'!H$10/SUM('Page 2. IKTVA Schedule'!I$10,'Page 2. IKTVA Schedule'!I$12),0)</f>
        <v>0</v>
      </c>
      <c r="I30" s="235">
        <v>0</v>
      </c>
      <c r="J30" s="273">
        <f>IF(ISBLANK(E30),0,IF(AND(F30="Imported",E30&lt;&gt;"Car Agency",E30&lt;&gt;"Tire Agency"),0,VLOOKUP(E30,'CAPEX Categories'!$A$36:$C$80,3,0)))</f>
        <v>0</v>
      </c>
      <c r="K30" s="53">
        <f t="shared" si="0"/>
        <v>0</v>
      </c>
      <c r="L30" s="53">
        <f t="shared" si="1"/>
        <v>0</v>
      </c>
      <c r="M30" s="273">
        <f>IFERROR(+'Page 2. IKTVA Schedule'!J$10/SUM('Page 2. IKTVA Schedule'!K$10,'Page 2. IKTVA Schedule'!K$12),0)</f>
        <v>0</v>
      </c>
      <c r="N30" s="235">
        <v>0</v>
      </c>
      <c r="O30" s="371">
        <f t="shared" si="2"/>
        <v>0</v>
      </c>
      <c r="P30" s="53">
        <f t="shared" si="3"/>
        <v>0</v>
      </c>
      <c r="Q30" s="53">
        <f t="shared" si="4"/>
        <v>0</v>
      </c>
      <c r="R30" s="273">
        <f>IFERROR(+'Page 2. IKTVA Schedule'!L$10/SUM('Page 2. IKTVA Schedule'!M$10,'Page 2. IKTVA Schedule'!M$12),0)</f>
        <v>0</v>
      </c>
      <c r="S30" s="235">
        <v>0</v>
      </c>
      <c r="T30" s="371">
        <f t="shared" si="5"/>
        <v>0</v>
      </c>
      <c r="U30" s="53">
        <f t="shared" si="6"/>
        <v>0</v>
      </c>
      <c r="V30" s="53">
        <f t="shared" si="7"/>
        <v>0</v>
      </c>
    </row>
    <row r="31" spans="1:22" ht="14.45" customHeight="1" x14ac:dyDescent="0.25">
      <c r="A31" s="414"/>
      <c r="B31" s="406"/>
      <c r="C31" s="35"/>
      <c r="D31" s="24"/>
      <c r="E31" s="24"/>
      <c r="F31" s="280"/>
      <c r="G31" s="280"/>
      <c r="H31" s="274">
        <f>IFERROR(+'Page 2. IKTVA Schedule'!H$10/SUM('Page 2. IKTVA Schedule'!I$10,'Page 2. IKTVA Schedule'!I$12),0)</f>
        <v>0</v>
      </c>
      <c r="I31" s="236">
        <v>0</v>
      </c>
      <c r="J31" s="274">
        <f>IF(ISBLANK(E31),0,IF(AND(F31="Imported",E31&lt;&gt;"Car Agency",E31&lt;&gt;"Tire Agency"),0,VLOOKUP(E31,'CAPEX Categories'!$A$36:$C$80,3,0)))</f>
        <v>0</v>
      </c>
      <c r="K31" s="54">
        <f t="shared" si="0"/>
        <v>0</v>
      </c>
      <c r="L31" s="54">
        <f t="shared" si="1"/>
        <v>0</v>
      </c>
      <c r="M31" s="274">
        <f>IFERROR(+'Page 2. IKTVA Schedule'!J$10/SUM('Page 2. IKTVA Schedule'!K$10,'Page 2. IKTVA Schedule'!K$12),0)</f>
        <v>0</v>
      </c>
      <c r="N31" s="236">
        <v>0</v>
      </c>
      <c r="O31" s="239">
        <f t="shared" si="2"/>
        <v>0</v>
      </c>
      <c r="P31" s="54">
        <f t="shared" si="3"/>
        <v>0</v>
      </c>
      <c r="Q31" s="54">
        <f t="shared" si="4"/>
        <v>0</v>
      </c>
      <c r="R31" s="274">
        <f>IFERROR(+'Page 2. IKTVA Schedule'!L$10/SUM('Page 2. IKTVA Schedule'!M$10,'Page 2. IKTVA Schedule'!M$12),0)</f>
        <v>0</v>
      </c>
      <c r="S31" s="236">
        <v>0</v>
      </c>
      <c r="T31" s="239">
        <f t="shared" si="5"/>
        <v>0</v>
      </c>
      <c r="U31" s="54">
        <f t="shared" si="6"/>
        <v>0</v>
      </c>
      <c r="V31" s="54">
        <f t="shared" si="7"/>
        <v>0</v>
      </c>
    </row>
    <row r="32" spans="1:22" ht="14.45" customHeight="1" x14ac:dyDescent="0.25">
      <c r="A32" s="413"/>
      <c r="B32" s="407"/>
      <c r="C32" s="34"/>
      <c r="D32" s="23"/>
      <c r="E32" s="23"/>
      <c r="F32" s="279"/>
      <c r="G32" s="279"/>
      <c r="H32" s="273">
        <f>IFERROR(+'Page 2. IKTVA Schedule'!H$10/SUM('Page 2. IKTVA Schedule'!I$10,'Page 2. IKTVA Schedule'!I$12),0)</f>
        <v>0</v>
      </c>
      <c r="I32" s="235">
        <v>0</v>
      </c>
      <c r="J32" s="273">
        <f>IF(ISBLANK(E32),0,IF(AND(F32="Imported",E32&lt;&gt;"Car Agency",E32&lt;&gt;"Tire Agency"),0,VLOOKUP(E32,'CAPEX Categories'!$A$36:$C$80,3,0)))</f>
        <v>0</v>
      </c>
      <c r="K32" s="53">
        <f t="shared" si="0"/>
        <v>0</v>
      </c>
      <c r="L32" s="53">
        <f t="shared" si="1"/>
        <v>0</v>
      </c>
      <c r="M32" s="273">
        <f>IFERROR(+'Page 2. IKTVA Schedule'!J$10/SUM('Page 2. IKTVA Schedule'!K$10,'Page 2. IKTVA Schedule'!K$12),0)</f>
        <v>0</v>
      </c>
      <c r="N32" s="235">
        <v>0</v>
      </c>
      <c r="O32" s="371">
        <f t="shared" si="2"/>
        <v>0</v>
      </c>
      <c r="P32" s="53">
        <f t="shared" si="3"/>
        <v>0</v>
      </c>
      <c r="Q32" s="53">
        <f t="shared" si="4"/>
        <v>0</v>
      </c>
      <c r="R32" s="273">
        <f>IFERROR(+'Page 2. IKTVA Schedule'!L$10/SUM('Page 2. IKTVA Schedule'!M$10,'Page 2. IKTVA Schedule'!M$12),0)</f>
        <v>0</v>
      </c>
      <c r="S32" s="235">
        <v>0</v>
      </c>
      <c r="T32" s="371">
        <f t="shared" si="5"/>
        <v>0</v>
      </c>
      <c r="U32" s="53">
        <f t="shared" si="6"/>
        <v>0</v>
      </c>
      <c r="V32" s="53">
        <f t="shared" si="7"/>
        <v>0</v>
      </c>
    </row>
    <row r="33" spans="1:22" ht="14.45" customHeight="1" x14ac:dyDescent="0.25">
      <c r="A33" s="414"/>
      <c r="B33" s="406"/>
      <c r="C33" s="35"/>
      <c r="D33" s="24"/>
      <c r="E33" s="24"/>
      <c r="F33" s="280"/>
      <c r="G33" s="280"/>
      <c r="H33" s="274">
        <f>IFERROR(+'Page 2. IKTVA Schedule'!H$10/SUM('Page 2. IKTVA Schedule'!I$10,'Page 2. IKTVA Schedule'!I$12),0)</f>
        <v>0</v>
      </c>
      <c r="I33" s="236">
        <v>0</v>
      </c>
      <c r="J33" s="274">
        <f>IF(ISBLANK(E33),0,IF(AND(F33="Imported",E33&lt;&gt;"Car Agency",E33&lt;&gt;"Tire Agency"),0,VLOOKUP(E33,'CAPEX Categories'!$A$36:$C$80,3,0)))</f>
        <v>0</v>
      </c>
      <c r="K33" s="54">
        <f t="shared" si="0"/>
        <v>0</v>
      </c>
      <c r="L33" s="54">
        <f t="shared" si="1"/>
        <v>0</v>
      </c>
      <c r="M33" s="274">
        <f>IFERROR(+'Page 2. IKTVA Schedule'!J$10/SUM('Page 2. IKTVA Schedule'!K$10,'Page 2. IKTVA Schedule'!K$12),0)</f>
        <v>0</v>
      </c>
      <c r="N33" s="236">
        <v>0</v>
      </c>
      <c r="O33" s="239">
        <f t="shared" si="2"/>
        <v>0</v>
      </c>
      <c r="P33" s="54">
        <f t="shared" si="3"/>
        <v>0</v>
      </c>
      <c r="Q33" s="54">
        <f t="shared" si="4"/>
        <v>0</v>
      </c>
      <c r="R33" s="274">
        <f>IFERROR(+'Page 2. IKTVA Schedule'!L$10/SUM('Page 2. IKTVA Schedule'!M$10,'Page 2. IKTVA Schedule'!M$12),0)</f>
        <v>0</v>
      </c>
      <c r="S33" s="236">
        <v>0</v>
      </c>
      <c r="T33" s="239">
        <f t="shared" si="5"/>
        <v>0</v>
      </c>
      <c r="U33" s="54">
        <f t="shared" si="6"/>
        <v>0</v>
      </c>
      <c r="V33" s="54">
        <f t="shared" si="7"/>
        <v>0</v>
      </c>
    </row>
    <row r="34" spans="1:22" ht="14.45" customHeight="1" x14ac:dyDescent="0.25">
      <c r="A34" s="413"/>
      <c r="B34" s="407"/>
      <c r="C34" s="34"/>
      <c r="D34" s="23"/>
      <c r="E34" s="23"/>
      <c r="F34" s="279"/>
      <c r="G34" s="279"/>
      <c r="H34" s="273">
        <f>IFERROR(+'Page 2. IKTVA Schedule'!H$10/SUM('Page 2. IKTVA Schedule'!I$10,'Page 2. IKTVA Schedule'!I$12),0)</f>
        <v>0</v>
      </c>
      <c r="I34" s="235">
        <v>0</v>
      </c>
      <c r="J34" s="273">
        <f>IF(ISBLANK(E34),0,IF(AND(F34="Imported",E34&lt;&gt;"Car Agency",E34&lt;&gt;"Tire Agency"),0,VLOOKUP(E34,'CAPEX Categories'!$A$36:$C$80,3,0)))</f>
        <v>0</v>
      </c>
      <c r="K34" s="53">
        <f t="shared" si="0"/>
        <v>0</v>
      </c>
      <c r="L34" s="53">
        <f t="shared" si="1"/>
        <v>0</v>
      </c>
      <c r="M34" s="273">
        <f>IFERROR(+'Page 2. IKTVA Schedule'!J$10/SUM('Page 2. IKTVA Schedule'!K$10,'Page 2. IKTVA Schedule'!K$12),0)</f>
        <v>0</v>
      </c>
      <c r="N34" s="235">
        <v>0</v>
      </c>
      <c r="O34" s="371">
        <f t="shared" si="2"/>
        <v>0</v>
      </c>
      <c r="P34" s="53">
        <f t="shared" si="3"/>
        <v>0</v>
      </c>
      <c r="Q34" s="53">
        <f t="shared" si="4"/>
        <v>0</v>
      </c>
      <c r="R34" s="273">
        <f>IFERROR(+'Page 2. IKTVA Schedule'!L$10/SUM('Page 2. IKTVA Schedule'!M$10,'Page 2. IKTVA Schedule'!M$12),0)</f>
        <v>0</v>
      </c>
      <c r="S34" s="235">
        <v>0</v>
      </c>
      <c r="T34" s="371">
        <f t="shared" si="5"/>
        <v>0</v>
      </c>
      <c r="U34" s="53">
        <f t="shared" si="6"/>
        <v>0</v>
      </c>
      <c r="V34" s="53">
        <f t="shared" si="7"/>
        <v>0</v>
      </c>
    </row>
    <row r="35" spans="1:22" ht="14.45" customHeight="1" x14ac:dyDescent="0.25">
      <c r="A35" s="414"/>
      <c r="B35" s="406"/>
      <c r="C35" s="35"/>
      <c r="D35" s="24"/>
      <c r="E35" s="24"/>
      <c r="F35" s="280"/>
      <c r="G35" s="280"/>
      <c r="H35" s="274">
        <f>IFERROR(+'Page 2. IKTVA Schedule'!H$10/SUM('Page 2. IKTVA Schedule'!I$10,'Page 2. IKTVA Schedule'!I$12),0)</f>
        <v>0</v>
      </c>
      <c r="I35" s="236">
        <v>0</v>
      </c>
      <c r="J35" s="274">
        <f>IF(ISBLANK(E35),0,IF(AND(F35="Imported",E35&lt;&gt;"Car Agency",E35&lt;&gt;"Tire Agency"),0,VLOOKUP(E35,'CAPEX Categories'!$A$36:$C$80,3,0)))</f>
        <v>0</v>
      </c>
      <c r="K35" s="54">
        <f t="shared" si="0"/>
        <v>0</v>
      </c>
      <c r="L35" s="54">
        <f t="shared" si="1"/>
        <v>0</v>
      </c>
      <c r="M35" s="274">
        <f>IFERROR(+'Page 2. IKTVA Schedule'!J$10/SUM('Page 2. IKTVA Schedule'!K$10,'Page 2. IKTVA Schedule'!K$12),0)</f>
        <v>0</v>
      </c>
      <c r="N35" s="236">
        <v>0</v>
      </c>
      <c r="O35" s="239">
        <f t="shared" si="2"/>
        <v>0</v>
      </c>
      <c r="P35" s="54">
        <f t="shared" si="3"/>
        <v>0</v>
      </c>
      <c r="Q35" s="54">
        <f t="shared" si="4"/>
        <v>0</v>
      </c>
      <c r="R35" s="274">
        <f>IFERROR(+'Page 2. IKTVA Schedule'!L$10/SUM('Page 2. IKTVA Schedule'!M$10,'Page 2. IKTVA Schedule'!M$12),0)</f>
        <v>0</v>
      </c>
      <c r="S35" s="236">
        <v>0</v>
      </c>
      <c r="T35" s="239">
        <f t="shared" si="5"/>
        <v>0</v>
      </c>
      <c r="U35" s="54">
        <f t="shared" si="6"/>
        <v>0</v>
      </c>
      <c r="V35" s="54">
        <f t="shared" si="7"/>
        <v>0</v>
      </c>
    </row>
    <row r="36" spans="1:22" ht="14.45" customHeight="1" x14ac:dyDescent="0.25">
      <c r="A36" s="413"/>
      <c r="B36" s="407"/>
      <c r="C36" s="34"/>
      <c r="D36" s="23"/>
      <c r="E36" s="23"/>
      <c r="F36" s="279"/>
      <c r="G36" s="279"/>
      <c r="H36" s="273">
        <f>IFERROR(+'Page 2. IKTVA Schedule'!H$10/SUM('Page 2. IKTVA Schedule'!I$10,'Page 2. IKTVA Schedule'!I$12),0)</f>
        <v>0</v>
      </c>
      <c r="I36" s="235">
        <v>0</v>
      </c>
      <c r="J36" s="273">
        <f>IF(ISBLANK(E36),0,IF(AND(F36="Imported",E36&lt;&gt;"Car Agency",E36&lt;&gt;"Tire Agency"),0,VLOOKUP(E36,'CAPEX Categories'!$A$36:$C$80,3,0)))</f>
        <v>0</v>
      </c>
      <c r="K36" s="53">
        <f t="shared" si="0"/>
        <v>0</v>
      </c>
      <c r="L36" s="53">
        <f t="shared" si="1"/>
        <v>0</v>
      </c>
      <c r="M36" s="273">
        <f>IFERROR(+'Page 2. IKTVA Schedule'!J$10/SUM('Page 2. IKTVA Schedule'!K$10,'Page 2. IKTVA Schedule'!K$12),0)</f>
        <v>0</v>
      </c>
      <c r="N36" s="235">
        <v>0</v>
      </c>
      <c r="O36" s="371">
        <f t="shared" si="2"/>
        <v>0</v>
      </c>
      <c r="P36" s="53">
        <f t="shared" si="3"/>
        <v>0</v>
      </c>
      <c r="Q36" s="53">
        <f t="shared" si="4"/>
        <v>0</v>
      </c>
      <c r="R36" s="273">
        <f>IFERROR(+'Page 2. IKTVA Schedule'!L$10/SUM('Page 2. IKTVA Schedule'!M$10,'Page 2. IKTVA Schedule'!M$12),0)</f>
        <v>0</v>
      </c>
      <c r="S36" s="235">
        <v>0</v>
      </c>
      <c r="T36" s="371">
        <f t="shared" si="5"/>
        <v>0</v>
      </c>
      <c r="U36" s="53">
        <f t="shared" si="6"/>
        <v>0</v>
      </c>
      <c r="V36" s="53">
        <f t="shared" si="7"/>
        <v>0</v>
      </c>
    </row>
    <row r="37" spans="1:22" ht="14.45" customHeight="1" x14ac:dyDescent="0.25">
      <c r="A37" s="414"/>
      <c r="B37" s="406"/>
      <c r="C37" s="35"/>
      <c r="D37" s="24"/>
      <c r="E37" s="24"/>
      <c r="F37" s="280"/>
      <c r="G37" s="280"/>
      <c r="H37" s="274">
        <f>IFERROR(+'Page 2. IKTVA Schedule'!H$10/SUM('Page 2. IKTVA Schedule'!I$10,'Page 2. IKTVA Schedule'!I$12),0)</f>
        <v>0</v>
      </c>
      <c r="I37" s="236">
        <v>0</v>
      </c>
      <c r="J37" s="274">
        <f>IF(ISBLANK(E37),0,IF(AND(F37="Imported",E37&lt;&gt;"Car Agency",E37&lt;&gt;"Tire Agency"),0,VLOOKUP(E37,'CAPEX Categories'!$A$36:$C$80,3,0)))</f>
        <v>0</v>
      </c>
      <c r="K37" s="54">
        <f t="shared" si="0"/>
        <v>0</v>
      </c>
      <c r="L37" s="54">
        <f t="shared" si="1"/>
        <v>0</v>
      </c>
      <c r="M37" s="274">
        <f>IFERROR(+'Page 2. IKTVA Schedule'!J$10/SUM('Page 2. IKTVA Schedule'!K$10,'Page 2. IKTVA Schedule'!K$12),0)</f>
        <v>0</v>
      </c>
      <c r="N37" s="236">
        <v>0</v>
      </c>
      <c r="O37" s="239">
        <f t="shared" si="2"/>
        <v>0</v>
      </c>
      <c r="P37" s="54">
        <f t="shared" si="3"/>
        <v>0</v>
      </c>
      <c r="Q37" s="54">
        <f t="shared" si="4"/>
        <v>0</v>
      </c>
      <c r="R37" s="274">
        <f>IFERROR(+'Page 2. IKTVA Schedule'!L$10/SUM('Page 2. IKTVA Schedule'!M$10,'Page 2. IKTVA Schedule'!M$12),0)</f>
        <v>0</v>
      </c>
      <c r="S37" s="236">
        <v>0</v>
      </c>
      <c r="T37" s="239">
        <f t="shared" si="5"/>
        <v>0</v>
      </c>
      <c r="U37" s="54">
        <f t="shared" si="6"/>
        <v>0</v>
      </c>
      <c r="V37" s="54">
        <f t="shared" si="7"/>
        <v>0</v>
      </c>
    </row>
    <row r="38" spans="1:22" ht="14.45" customHeight="1" x14ac:dyDescent="0.25">
      <c r="A38" s="413"/>
      <c r="B38" s="407"/>
      <c r="C38" s="34"/>
      <c r="D38" s="23"/>
      <c r="E38" s="23"/>
      <c r="F38" s="279"/>
      <c r="G38" s="279"/>
      <c r="H38" s="273">
        <f>IFERROR(+'Page 2. IKTVA Schedule'!H$10/SUM('Page 2. IKTVA Schedule'!I$10,'Page 2. IKTVA Schedule'!I$12),0)</f>
        <v>0</v>
      </c>
      <c r="I38" s="235">
        <v>0</v>
      </c>
      <c r="J38" s="273">
        <f>IF(ISBLANK(E38),0,IF(AND(F38="Imported",E38&lt;&gt;"Car Agency",E38&lt;&gt;"Tire Agency"),0,VLOOKUP(E38,'CAPEX Categories'!$A$36:$C$80,3,0)))</f>
        <v>0</v>
      </c>
      <c r="K38" s="53">
        <f t="shared" si="0"/>
        <v>0</v>
      </c>
      <c r="L38" s="53">
        <f t="shared" si="1"/>
        <v>0</v>
      </c>
      <c r="M38" s="273">
        <f>IFERROR(+'Page 2. IKTVA Schedule'!J$10/SUM('Page 2. IKTVA Schedule'!K$10,'Page 2. IKTVA Schedule'!K$12),0)</f>
        <v>0</v>
      </c>
      <c r="N38" s="235">
        <v>0</v>
      </c>
      <c r="O38" s="371">
        <f t="shared" si="2"/>
        <v>0</v>
      </c>
      <c r="P38" s="53">
        <f t="shared" si="3"/>
        <v>0</v>
      </c>
      <c r="Q38" s="53">
        <f t="shared" si="4"/>
        <v>0</v>
      </c>
      <c r="R38" s="273">
        <f>IFERROR(+'Page 2. IKTVA Schedule'!L$10/SUM('Page 2. IKTVA Schedule'!M$10,'Page 2. IKTVA Schedule'!M$12),0)</f>
        <v>0</v>
      </c>
      <c r="S38" s="235">
        <v>0</v>
      </c>
      <c r="T38" s="371">
        <f t="shared" si="5"/>
        <v>0</v>
      </c>
      <c r="U38" s="53">
        <f t="shared" si="6"/>
        <v>0</v>
      </c>
      <c r="V38" s="53">
        <f t="shared" si="7"/>
        <v>0</v>
      </c>
    </row>
    <row r="39" spans="1:22" ht="14.45" customHeight="1" x14ac:dyDescent="0.25">
      <c r="A39" s="414"/>
      <c r="B39" s="406"/>
      <c r="C39" s="35"/>
      <c r="D39" s="24"/>
      <c r="E39" s="24"/>
      <c r="F39" s="280"/>
      <c r="G39" s="280"/>
      <c r="H39" s="274">
        <f>IFERROR(+'Page 2. IKTVA Schedule'!H$10/SUM('Page 2. IKTVA Schedule'!I$10,'Page 2. IKTVA Schedule'!I$12),0)</f>
        <v>0</v>
      </c>
      <c r="I39" s="236">
        <v>0</v>
      </c>
      <c r="J39" s="274">
        <f>IF(ISBLANK(E39),0,IF(AND(F39="Imported",E39&lt;&gt;"Car Agency",E39&lt;&gt;"Tire Agency"),0,VLOOKUP(E39,'CAPEX Categories'!$A$36:$C$80,3,0)))</f>
        <v>0</v>
      </c>
      <c r="K39" s="54">
        <f t="shared" si="0"/>
        <v>0</v>
      </c>
      <c r="L39" s="54">
        <f t="shared" si="1"/>
        <v>0</v>
      </c>
      <c r="M39" s="274">
        <f>IFERROR(+'Page 2. IKTVA Schedule'!J$10/SUM('Page 2. IKTVA Schedule'!K$10,'Page 2. IKTVA Schedule'!K$12),0)</f>
        <v>0</v>
      </c>
      <c r="N39" s="236">
        <v>0</v>
      </c>
      <c r="O39" s="239">
        <f t="shared" si="2"/>
        <v>0</v>
      </c>
      <c r="P39" s="54">
        <f t="shared" si="3"/>
        <v>0</v>
      </c>
      <c r="Q39" s="54">
        <f t="shared" si="4"/>
        <v>0</v>
      </c>
      <c r="R39" s="274">
        <f>IFERROR(+'Page 2. IKTVA Schedule'!L$10/SUM('Page 2. IKTVA Schedule'!M$10,'Page 2. IKTVA Schedule'!M$12),0)</f>
        <v>0</v>
      </c>
      <c r="S39" s="236">
        <v>0</v>
      </c>
      <c r="T39" s="239">
        <f t="shared" si="5"/>
        <v>0</v>
      </c>
      <c r="U39" s="54">
        <f t="shared" si="6"/>
        <v>0</v>
      </c>
      <c r="V39" s="54">
        <f t="shared" si="7"/>
        <v>0</v>
      </c>
    </row>
    <row r="40" spans="1:22" ht="14.45" customHeight="1" x14ac:dyDescent="0.25">
      <c r="A40" s="413"/>
      <c r="B40" s="407"/>
      <c r="C40" s="34"/>
      <c r="D40" s="23"/>
      <c r="E40" s="23"/>
      <c r="F40" s="279"/>
      <c r="G40" s="279"/>
      <c r="H40" s="273">
        <f>IFERROR(+'Page 2. IKTVA Schedule'!H$10/SUM('Page 2. IKTVA Schedule'!I$10,'Page 2. IKTVA Schedule'!I$12),0)</f>
        <v>0</v>
      </c>
      <c r="I40" s="235">
        <v>0</v>
      </c>
      <c r="J40" s="273">
        <f>IF(ISBLANK(E40),0,IF(AND(F40="Imported",E40&lt;&gt;"Car Agency",E40&lt;&gt;"Tire Agency"),0,VLOOKUP(E40,'CAPEX Categories'!$A$36:$C$80,3,0)))</f>
        <v>0</v>
      </c>
      <c r="K40" s="53">
        <f t="shared" si="0"/>
        <v>0</v>
      </c>
      <c r="L40" s="53">
        <f t="shared" si="1"/>
        <v>0</v>
      </c>
      <c r="M40" s="273">
        <f>IFERROR(+'Page 2. IKTVA Schedule'!J$10/SUM('Page 2. IKTVA Schedule'!K$10,'Page 2. IKTVA Schedule'!K$12),0)</f>
        <v>0</v>
      </c>
      <c r="N40" s="235">
        <v>0</v>
      </c>
      <c r="O40" s="371">
        <f t="shared" si="2"/>
        <v>0</v>
      </c>
      <c r="P40" s="53">
        <f t="shared" si="3"/>
        <v>0</v>
      </c>
      <c r="Q40" s="53">
        <f t="shared" si="4"/>
        <v>0</v>
      </c>
      <c r="R40" s="273">
        <f>IFERROR(+'Page 2. IKTVA Schedule'!L$10/SUM('Page 2. IKTVA Schedule'!M$10,'Page 2. IKTVA Schedule'!M$12),0)</f>
        <v>0</v>
      </c>
      <c r="S40" s="235">
        <v>0</v>
      </c>
      <c r="T40" s="371">
        <f t="shared" si="5"/>
        <v>0</v>
      </c>
      <c r="U40" s="53">
        <f t="shared" si="6"/>
        <v>0</v>
      </c>
      <c r="V40" s="53">
        <f t="shared" si="7"/>
        <v>0</v>
      </c>
    </row>
    <row r="41" spans="1:22" ht="14.45" customHeight="1" x14ac:dyDescent="0.25">
      <c r="A41" s="414"/>
      <c r="B41" s="406"/>
      <c r="C41" s="35"/>
      <c r="D41" s="24"/>
      <c r="E41" s="24"/>
      <c r="F41" s="280"/>
      <c r="G41" s="280"/>
      <c r="H41" s="274">
        <f>IFERROR(+'Page 2. IKTVA Schedule'!H$10/SUM('Page 2. IKTVA Schedule'!I$10,'Page 2. IKTVA Schedule'!I$12),0)</f>
        <v>0</v>
      </c>
      <c r="I41" s="236">
        <v>0</v>
      </c>
      <c r="J41" s="274">
        <f>IF(ISBLANK(E41),0,IF(AND(F41="Imported",E41&lt;&gt;"Car Agency",E41&lt;&gt;"Tire Agency"),0,VLOOKUP(E41,'CAPEX Categories'!$A$36:$C$80,3,0)))</f>
        <v>0</v>
      </c>
      <c r="K41" s="54">
        <f t="shared" si="0"/>
        <v>0</v>
      </c>
      <c r="L41" s="54">
        <f t="shared" si="1"/>
        <v>0</v>
      </c>
      <c r="M41" s="274">
        <f>IFERROR(+'Page 2. IKTVA Schedule'!J$10/SUM('Page 2. IKTVA Schedule'!K$10,'Page 2. IKTVA Schedule'!K$12),0)</f>
        <v>0</v>
      </c>
      <c r="N41" s="236">
        <v>0</v>
      </c>
      <c r="O41" s="239">
        <f t="shared" si="2"/>
        <v>0</v>
      </c>
      <c r="P41" s="54">
        <f t="shared" si="3"/>
        <v>0</v>
      </c>
      <c r="Q41" s="54">
        <f t="shared" si="4"/>
        <v>0</v>
      </c>
      <c r="R41" s="274">
        <f>IFERROR(+'Page 2. IKTVA Schedule'!L$10/SUM('Page 2. IKTVA Schedule'!M$10,'Page 2. IKTVA Schedule'!M$12),0)</f>
        <v>0</v>
      </c>
      <c r="S41" s="236">
        <v>0</v>
      </c>
      <c r="T41" s="239">
        <f t="shared" si="5"/>
        <v>0</v>
      </c>
      <c r="U41" s="54">
        <f t="shared" si="6"/>
        <v>0</v>
      </c>
      <c r="V41" s="54">
        <f t="shared" si="7"/>
        <v>0</v>
      </c>
    </row>
    <row r="42" spans="1:22" ht="14.45" customHeight="1" x14ac:dyDescent="0.25">
      <c r="A42" s="413"/>
      <c r="B42" s="407"/>
      <c r="C42" s="34"/>
      <c r="D42" s="23"/>
      <c r="E42" s="23"/>
      <c r="F42" s="279"/>
      <c r="G42" s="279"/>
      <c r="H42" s="273">
        <f>IFERROR(+'Page 2. IKTVA Schedule'!H$10/SUM('Page 2. IKTVA Schedule'!I$10,'Page 2. IKTVA Schedule'!I$12),0)</f>
        <v>0</v>
      </c>
      <c r="I42" s="235">
        <v>0</v>
      </c>
      <c r="J42" s="273">
        <f>IF(ISBLANK(E42),0,IF(AND(F42="Imported",E42&lt;&gt;"Car Agency",E42&lt;&gt;"Tire Agency"),0,VLOOKUP(E42,'CAPEX Categories'!$A$36:$C$80,3,0)))</f>
        <v>0</v>
      </c>
      <c r="K42" s="53">
        <f t="shared" si="0"/>
        <v>0</v>
      </c>
      <c r="L42" s="53">
        <f t="shared" si="1"/>
        <v>0</v>
      </c>
      <c r="M42" s="273">
        <f>IFERROR(+'Page 2. IKTVA Schedule'!J$10/SUM('Page 2. IKTVA Schedule'!K$10,'Page 2. IKTVA Schedule'!K$12),0)</f>
        <v>0</v>
      </c>
      <c r="N42" s="235">
        <v>0</v>
      </c>
      <c r="O42" s="371">
        <f t="shared" si="2"/>
        <v>0</v>
      </c>
      <c r="P42" s="53">
        <f t="shared" si="3"/>
        <v>0</v>
      </c>
      <c r="Q42" s="53">
        <f t="shared" si="4"/>
        <v>0</v>
      </c>
      <c r="R42" s="273">
        <f>IFERROR(+'Page 2. IKTVA Schedule'!L$10/SUM('Page 2. IKTVA Schedule'!M$10,'Page 2. IKTVA Schedule'!M$12),0)</f>
        <v>0</v>
      </c>
      <c r="S42" s="235">
        <v>0</v>
      </c>
      <c r="T42" s="371">
        <f t="shared" si="5"/>
        <v>0</v>
      </c>
      <c r="U42" s="53">
        <f t="shared" si="6"/>
        <v>0</v>
      </c>
      <c r="V42" s="53">
        <f t="shared" si="7"/>
        <v>0</v>
      </c>
    </row>
    <row r="43" spans="1:22" ht="14.45" customHeight="1" x14ac:dyDescent="0.25">
      <c r="A43" s="414"/>
      <c r="B43" s="406"/>
      <c r="C43" s="35"/>
      <c r="D43" s="24"/>
      <c r="E43" s="24"/>
      <c r="F43" s="280"/>
      <c r="G43" s="280"/>
      <c r="H43" s="274">
        <f>IFERROR(+'Page 2. IKTVA Schedule'!H$10/SUM('Page 2. IKTVA Schedule'!I$10,'Page 2. IKTVA Schedule'!I$12),0)</f>
        <v>0</v>
      </c>
      <c r="I43" s="236">
        <v>0</v>
      </c>
      <c r="J43" s="274">
        <f>IF(ISBLANK(E43),0,IF(AND(F43="Imported",E43&lt;&gt;"Car Agency",E43&lt;&gt;"Tire Agency"),0,VLOOKUP(E43,'CAPEX Categories'!$A$36:$C$80,3,0)))</f>
        <v>0</v>
      </c>
      <c r="K43" s="54">
        <f t="shared" si="0"/>
        <v>0</v>
      </c>
      <c r="L43" s="54">
        <f t="shared" si="1"/>
        <v>0</v>
      </c>
      <c r="M43" s="274">
        <f>IFERROR(+'Page 2. IKTVA Schedule'!J$10/SUM('Page 2. IKTVA Schedule'!K$10,'Page 2. IKTVA Schedule'!K$12),0)</f>
        <v>0</v>
      </c>
      <c r="N43" s="236">
        <v>0</v>
      </c>
      <c r="O43" s="239">
        <f t="shared" si="2"/>
        <v>0</v>
      </c>
      <c r="P43" s="54">
        <f t="shared" si="3"/>
        <v>0</v>
      </c>
      <c r="Q43" s="54">
        <f t="shared" si="4"/>
        <v>0</v>
      </c>
      <c r="R43" s="274">
        <f>IFERROR(+'Page 2. IKTVA Schedule'!L$10/SUM('Page 2. IKTVA Schedule'!M$10,'Page 2. IKTVA Schedule'!M$12),0)</f>
        <v>0</v>
      </c>
      <c r="S43" s="236">
        <v>0</v>
      </c>
      <c r="T43" s="239">
        <f t="shared" si="5"/>
        <v>0</v>
      </c>
      <c r="U43" s="54">
        <f t="shared" si="6"/>
        <v>0</v>
      </c>
      <c r="V43" s="54">
        <f t="shared" si="7"/>
        <v>0</v>
      </c>
    </row>
    <row r="44" spans="1:22" ht="14.45" customHeight="1" x14ac:dyDescent="0.25">
      <c r="A44" s="413"/>
      <c r="B44" s="407"/>
      <c r="C44" s="34"/>
      <c r="D44" s="23"/>
      <c r="E44" s="23"/>
      <c r="F44" s="279"/>
      <c r="G44" s="279"/>
      <c r="H44" s="273">
        <f>IFERROR(+'Page 2. IKTVA Schedule'!H$10/SUM('Page 2. IKTVA Schedule'!I$10,'Page 2. IKTVA Schedule'!I$12),0)</f>
        <v>0</v>
      </c>
      <c r="I44" s="235">
        <v>0</v>
      </c>
      <c r="J44" s="273">
        <f>IF(ISBLANK(E44),0,IF(AND(F44="Imported",E44&lt;&gt;"Car Agency",E44&lt;&gt;"Tire Agency"),0,VLOOKUP(E44,'CAPEX Categories'!$A$36:$C$80,3,0)))</f>
        <v>0</v>
      </c>
      <c r="K44" s="53">
        <f t="shared" si="0"/>
        <v>0</v>
      </c>
      <c r="L44" s="53">
        <f t="shared" si="1"/>
        <v>0</v>
      </c>
      <c r="M44" s="273">
        <f>IFERROR(+'Page 2. IKTVA Schedule'!J$10/SUM('Page 2. IKTVA Schedule'!K$10,'Page 2. IKTVA Schedule'!K$12),0)</f>
        <v>0</v>
      </c>
      <c r="N44" s="235">
        <v>0</v>
      </c>
      <c r="O44" s="371">
        <f t="shared" si="2"/>
        <v>0</v>
      </c>
      <c r="P44" s="53">
        <f t="shared" si="3"/>
        <v>0</v>
      </c>
      <c r="Q44" s="53">
        <f t="shared" si="4"/>
        <v>0</v>
      </c>
      <c r="R44" s="273">
        <f>IFERROR(+'Page 2. IKTVA Schedule'!L$10/SUM('Page 2. IKTVA Schedule'!M$10,'Page 2. IKTVA Schedule'!M$12),0)</f>
        <v>0</v>
      </c>
      <c r="S44" s="235">
        <v>0</v>
      </c>
      <c r="T44" s="371">
        <f t="shared" si="5"/>
        <v>0</v>
      </c>
      <c r="U44" s="53">
        <f t="shared" si="6"/>
        <v>0</v>
      </c>
      <c r="V44" s="53">
        <f t="shared" si="7"/>
        <v>0</v>
      </c>
    </row>
    <row r="45" spans="1:22" ht="14.45" customHeight="1" x14ac:dyDescent="0.25">
      <c r="A45" s="414"/>
      <c r="B45" s="406"/>
      <c r="C45" s="35"/>
      <c r="D45" s="24"/>
      <c r="E45" s="24"/>
      <c r="F45" s="280"/>
      <c r="G45" s="280"/>
      <c r="H45" s="274">
        <f>IFERROR(+'Page 2. IKTVA Schedule'!H$10/SUM('Page 2. IKTVA Schedule'!I$10,'Page 2. IKTVA Schedule'!I$12),0)</f>
        <v>0</v>
      </c>
      <c r="I45" s="236">
        <v>0</v>
      </c>
      <c r="J45" s="274">
        <f>IF(ISBLANK(E45),0,IF(AND(F45="Imported",E45&lt;&gt;"Car Agency",E45&lt;&gt;"Tire Agency"),0,VLOOKUP(E45,'CAPEX Categories'!$A$36:$C$80,3,0)))</f>
        <v>0</v>
      </c>
      <c r="K45" s="54">
        <f t="shared" si="0"/>
        <v>0</v>
      </c>
      <c r="L45" s="54">
        <f t="shared" si="1"/>
        <v>0</v>
      </c>
      <c r="M45" s="274">
        <f>IFERROR(+'Page 2. IKTVA Schedule'!J$10/SUM('Page 2. IKTVA Schedule'!K$10,'Page 2. IKTVA Schedule'!K$12),0)</f>
        <v>0</v>
      </c>
      <c r="N45" s="236">
        <v>0</v>
      </c>
      <c r="O45" s="239">
        <f t="shared" si="2"/>
        <v>0</v>
      </c>
      <c r="P45" s="54">
        <f t="shared" si="3"/>
        <v>0</v>
      </c>
      <c r="Q45" s="54">
        <f t="shared" si="4"/>
        <v>0</v>
      </c>
      <c r="R45" s="274">
        <f>IFERROR(+'Page 2. IKTVA Schedule'!L$10/SUM('Page 2. IKTVA Schedule'!M$10,'Page 2. IKTVA Schedule'!M$12),0)</f>
        <v>0</v>
      </c>
      <c r="S45" s="236">
        <v>0</v>
      </c>
      <c r="T45" s="239">
        <f t="shared" si="5"/>
        <v>0</v>
      </c>
      <c r="U45" s="54">
        <f t="shared" si="6"/>
        <v>0</v>
      </c>
      <c r="V45" s="54">
        <f t="shared" si="7"/>
        <v>0</v>
      </c>
    </row>
    <row r="46" spans="1:22" ht="14.45" customHeight="1" x14ac:dyDescent="0.25">
      <c r="A46" s="413"/>
      <c r="B46" s="407"/>
      <c r="C46" s="34"/>
      <c r="D46" s="23"/>
      <c r="E46" s="23"/>
      <c r="F46" s="279"/>
      <c r="G46" s="279"/>
      <c r="H46" s="273">
        <f>IFERROR(+'Page 2. IKTVA Schedule'!H$10/SUM('Page 2. IKTVA Schedule'!I$10,'Page 2. IKTVA Schedule'!I$12),0)</f>
        <v>0</v>
      </c>
      <c r="I46" s="235">
        <v>0</v>
      </c>
      <c r="J46" s="273">
        <f>IF(ISBLANK(E46),0,IF(AND(F46="Imported",E46&lt;&gt;"Car Agency",E46&lt;&gt;"Tire Agency"),0,VLOOKUP(E46,'CAPEX Categories'!$A$36:$C$80,3,0)))</f>
        <v>0</v>
      </c>
      <c r="K46" s="53">
        <f t="shared" si="0"/>
        <v>0</v>
      </c>
      <c r="L46" s="53">
        <f t="shared" si="1"/>
        <v>0</v>
      </c>
      <c r="M46" s="273">
        <f>IFERROR(+'Page 2. IKTVA Schedule'!J$10/SUM('Page 2. IKTVA Schedule'!K$10,'Page 2. IKTVA Schedule'!K$12),0)</f>
        <v>0</v>
      </c>
      <c r="N46" s="235">
        <v>0</v>
      </c>
      <c r="O46" s="371">
        <f t="shared" si="2"/>
        <v>0</v>
      </c>
      <c r="P46" s="53">
        <f t="shared" si="3"/>
        <v>0</v>
      </c>
      <c r="Q46" s="53">
        <f t="shared" si="4"/>
        <v>0</v>
      </c>
      <c r="R46" s="273">
        <f>IFERROR(+'Page 2. IKTVA Schedule'!L$10/SUM('Page 2. IKTVA Schedule'!M$10,'Page 2. IKTVA Schedule'!M$12),0)</f>
        <v>0</v>
      </c>
      <c r="S46" s="235">
        <v>0</v>
      </c>
      <c r="T46" s="371">
        <f t="shared" si="5"/>
        <v>0</v>
      </c>
      <c r="U46" s="53">
        <f t="shared" si="6"/>
        <v>0</v>
      </c>
      <c r="V46" s="53">
        <f t="shared" si="7"/>
        <v>0</v>
      </c>
    </row>
    <row r="47" spans="1:22" ht="14.45" customHeight="1" x14ac:dyDescent="0.25">
      <c r="A47" s="414"/>
      <c r="B47" s="406"/>
      <c r="C47" s="35"/>
      <c r="D47" s="24"/>
      <c r="E47" s="24"/>
      <c r="F47" s="280"/>
      <c r="G47" s="280"/>
      <c r="H47" s="274">
        <f>IFERROR(+'Page 2. IKTVA Schedule'!H$10/SUM('Page 2. IKTVA Schedule'!I$10,'Page 2. IKTVA Schedule'!I$12),0)</f>
        <v>0</v>
      </c>
      <c r="I47" s="236">
        <v>0</v>
      </c>
      <c r="J47" s="274">
        <f>IF(ISBLANK(E47),0,IF(AND(F47="Imported",E47&lt;&gt;"Car Agency",E47&lt;&gt;"Tire Agency"),0,VLOOKUP(E47,'CAPEX Categories'!$A$36:$C$80,3,0)))</f>
        <v>0</v>
      </c>
      <c r="K47" s="54">
        <f t="shared" si="0"/>
        <v>0</v>
      </c>
      <c r="L47" s="54">
        <f t="shared" si="1"/>
        <v>0</v>
      </c>
      <c r="M47" s="274">
        <f>IFERROR(+'Page 2. IKTVA Schedule'!J$10/SUM('Page 2. IKTVA Schedule'!K$10,'Page 2. IKTVA Schedule'!K$12),0)</f>
        <v>0</v>
      </c>
      <c r="N47" s="236">
        <v>0</v>
      </c>
      <c r="O47" s="239">
        <f t="shared" si="2"/>
        <v>0</v>
      </c>
      <c r="P47" s="54">
        <f t="shared" si="3"/>
        <v>0</v>
      </c>
      <c r="Q47" s="54">
        <f t="shared" si="4"/>
        <v>0</v>
      </c>
      <c r="R47" s="274">
        <f>IFERROR(+'Page 2. IKTVA Schedule'!L$10/SUM('Page 2. IKTVA Schedule'!M$10,'Page 2. IKTVA Schedule'!M$12),0)</f>
        <v>0</v>
      </c>
      <c r="S47" s="236">
        <v>0</v>
      </c>
      <c r="T47" s="239">
        <f t="shared" si="5"/>
        <v>0</v>
      </c>
      <c r="U47" s="54">
        <f t="shared" si="6"/>
        <v>0</v>
      </c>
      <c r="V47" s="54">
        <f t="shared" si="7"/>
        <v>0</v>
      </c>
    </row>
    <row r="48" spans="1:22" ht="14.45" customHeight="1" x14ac:dyDescent="0.25">
      <c r="A48" s="413"/>
      <c r="B48" s="407"/>
      <c r="C48" s="34"/>
      <c r="D48" s="23"/>
      <c r="E48" s="23"/>
      <c r="F48" s="279"/>
      <c r="G48" s="279"/>
      <c r="H48" s="273">
        <f>IFERROR(+'Page 2. IKTVA Schedule'!H$10/SUM('Page 2. IKTVA Schedule'!I$10,'Page 2. IKTVA Schedule'!I$12),0)</f>
        <v>0</v>
      </c>
      <c r="I48" s="235">
        <v>0</v>
      </c>
      <c r="J48" s="273">
        <f>IF(ISBLANK(E48),0,IF(AND(F48="Imported",E48&lt;&gt;"Car Agency",E48&lt;&gt;"Tire Agency"),0,VLOOKUP(E48,'CAPEX Categories'!$A$36:$C$80,3,0)))</f>
        <v>0</v>
      </c>
      <c r="K48" s="53">
        <f t="shared" si="0"/>
        <v>0</v>
      </c>
      <c r="L48" s="53">
        <f t="shared" si="1"/>
        <v>0</v>
      </c>
      <c r="M48" s="273">
        <f>IFERROR(+'Page 2. IKTVA Schedule'!J$10/SUM('Page 2. IKTVA Schedule'!K$10,'Page 2. IKTVA Schedule'!K$12),0)</f>
        <v>0</v>
      </c>
      <c r="N48" s="235">
        <v>0</v>
      </c>
      <c r="O48" s="371">
        <f t="shared" si="2"/>
        <v>0</v>
      </c>
      <c r="P48" s="53">
        <f t="shared" si="3"/>
        <v>0</v>
      </c>
      <c r="Q48" s="53">
        <f t="shared" si="4"/>
        <v>0</v>
      </c>
      <c r="R48" s="273">
        <f>IFERROR(+'Page 2. IKTVA Schedule'!L$10/SUM('Page 2. IKTVA Schedule'!M$10,'Page 2. IKTVA Schedule'!M$12),0)</f>
        <v>0</v>
      </c>
      <c r="S48" s="235">
        <v>0</v>
      </c>
      <c r="T48" s="371">
        <f t="shared" si="5"/>
        <v>0</v>
      </c>
      <c r="U48" s="53">
        <f t="shared" si="6"/>
        <v>0</v>
      </c>
      <c r="V48" s="53">
        <f t="shared" si="7"/>
        <v>0</v>
      </c>
    </row>
    <row r="49" spans="1:22" ht="14.45" customHeight="1" x14ac:dyDescent="0.25">
      <c r="A49" s="414"/>
      <c r="B49" s="406"/>
      <c r="C49" s="35"/>
      <c r="D49" s="24"/>
      <c r="E49" s="24"/>
      <c r="F49" s="280"/>
      <c r="G49" s="280"/>
      <c r="H49" s="274">
        <f>IFERROR(+'Page 2. IKTVA Schedule'!H$10/SUM('Page 2. IKTVA Schedule'!I$10,'Page 2. IKTVA Schedule'!I$12),0)</f>
        <v>0</v>
      </c>
      <c r="I49" s="236">
        <v>0</v>
      </c>
      <c r="J49" s="274">
        <f>IF(ISBLANK(E49),0,IF(AND(F49="Imported",E49&lt;&gt;"Car Agency",E49&lt;&gt;"Tire Agency"),0,VLOOKUP(E49,'CAPEX Categories'!$A$36:$C$80,3,0)))</f>
        <v>0</v>
      </c>
      <c r="K49" s="54">
        <f t="shared" si="0"/>
        <v>0</v>
      </c>
      <c r="L49" s="54">
        <f t="shared" si="1"/>
        <v>0</v>
      </c>
      <c r="M49" s="274">
        <f>IFERROR(+'Page 2. IKTVA Schedule'!J$10/SUM('Page 2. IKTVA Schedule'!K$10,'Page 2. IKTVA Schedule'!K$12),0)</f>
        <v>0</v>
      </c>
      <c r="N49" s="236">
        <v>0</v>
      </c>
      <c r="O49" s="239">
        <f t="shared" si="2"/>
        <v>0</v>
      </c>
      <c r="P49" s="54">
        <f t="shared" si="3"/>
        <v>0</v>
      </c>
      <c r="Q49" s="54">
        <f t="shared" si="4"/>
        <v>0</v>
      </c>
      <c r="R49" s="274">
        <f>IFERROR(+'Page 2. IKTVA Schedule'!L$10/SUM('Page 2. IKTVA Schedule'!M$10,'Page 2. IKTVA Schedule'!M$12),0)</f>
        <v>0</v>
      </c>
      <c r="S49" s="236">
        <v>0</v>
      </c>
      <c r="T49" s="239">
        <f t="shared" si="5"/>
        <v>0</v>
      </c>
      <c r="U49" s="54">
        <f t="shared" si="6"/>
        <v>0</v>
      </c>
      <c r="V49" s="54">
        <f t="shared" si="7"/>
        <v>0</v>
      </c>
    </row>
    <row r="50" spans="1:22" ht="14.45" customHeight="1" x14ac:dyDescent="0.25">
      <c r="A50" s="413"/>
      <c r="B50" s="407"/>
      <c r="C50" s="34"/>
      <c r="D50" s="23"/>
      <c r="E50" s="23"/>
      <c r="F50" s="279"/>
      <c r="G50" s="279"/>
      <c r="H50" s="273">
        <f>IFERROR(+'Page 2. IKTVA Schedule'!H$10/SUM('Page 2. IKTVA Schedule'!I$10,'Page 2. IKTVA Schedule'!I$12),0)</f>
        <v>0</v>
      </c>
      <c r="I50" s="235">
        <v>0</v>
      </c>
      <c r="J50" s="273">
        <f>IF(ISBLANK(E50),0,IF(AND(F50="Imported",E50&lt;&gt;"Car Agency",E50&lt;&gt;"Tire Agency"),0,VLOOKUP(E50,'CAPEX Categories'!$A$36:$C$80,3,0)))</f>
        <v>0</v>
      </c>
      <c r="K50" s="53">
        <f t="shared" si="0"/>
        <v>0</v>
      </c>
      <c r="L50" s="53">
        <f t="shared" si="1"/>
        <v>0</v>
      </c>
      <c r="M50" s="273">
        <f>IFERROR(+'Page 2. IKTVA Schedule'!J$10/SUM('Page 2. IKTVA Schedule'!K$10,'Page 2. IKTVA Schedule'!K$12),0)</f>
        <v>0</v>
      </c>
      <c r="N50" s="235">
        <v>0</v>
      </c>
      <c r="O50" s="371">
        <f t="shared" si="2"/>
        <v>0</v>
      </c>
      <c r="P50" s="53">
        <f t="shared" si="3"/>
        <v>0</v>
      </c>
      <c r="Q50" s="53">
        <f t="shared" si="4"/>
        <v>0</v>
      </c>
      <c r="R50" s="273">
        <f>IFERROR(+'Page 2. IKTVA Schedule'!L$10/SUM('Page 2. IKTVA Schedule'!M$10,'Page 2. IKTVA Schedule'!M$12),0)</f>
        <v>0</v>
      </c>
      <c r="S50" s="235">
        <v>0</v>
      </c>
      <c r="T50" s="371">
        <f t="shared" si="5"/>
        <v>0</v>
      </c>
      <c r="U50" s="53">
        <f t="shared" si="6"/>
        <v>0</v>
      </c>
      <c r="V50" s="53">
        <f t="shared" si="7"/>
        <v>0</v>
      </c>
    </row>
    <row r="51" spans="1:22" ht="14.45" customHeight="1" x14ac:dyDescent="0.25">
      <c r="A51" s="414"/>
      <c r="B51" s="406"/>
      <c r="C51" s="35"/>
      <c r="D51" s="24"/>
      <c r="E51" s="24"/>
      <c r="F51" s="280"/>
      <c r="G51" s="280"/>
      <c r="H51" s="274">
        <f>IFERROR(+'Page 2. IKTVA Schedule'!H$10/SUM('Page 2. IKTVA Schedule'!I$10,'Page 2. IKTVA Schedule'!I$12),0)</f>
        <v>0</v>
      </c>
      <c r="I51" s="236">
        <v>0</v>
      </c>
      <c r="J51" s="274">
        <f>IF(ISBLANK(E51),0,IF(AND(F51="Imported",E51&lt;&gt;"Car Agency",E51&lt;&gt;"Tire Agency"),0,VLOOKUP(E51,'CAPEX Categories'!$A$36:$C$80,3,0)))</f>
        <v>0</v>
      </c>
      <c r="K51" s="54">
        <f t="shared" si="0"/>
        <v>0</v>
      </c>
      <c r="L51" s="54">
        <f t="shared" si="1"/>
        <v>0</v>
      </c>
      <c r="M51" s="274">
        <f>IFERROR(+'Page 2. IKTVA Schedule'!J$10/SUM('Page 2. IKTVA Schedule'!K$10,'Page 2. IKTVA Schedule'!K$12),0)</f>
        <v>0</v>
      </c>
      <c r="N51" s="236">
        <v>0</v>
      </c>
      <c r="O51" s="239">
        <f t="shared" si="2"/>
        <v>0</v>
      </c>
      <c r="P51" s="54">
        <f t="shared" si="3"/>
        <v>0</v>
      </c>
      <c r="Q51" s="54">
        <f t="shared" si="4"/>
        <v>0</v>
      </c>
      <c r="R51" s="274">
        <f>IFERROR(+'Page 2. IKTVA Schedule'!L$10/SUM('Page 2. IKTVA Schedule'!M$10,'Page 2. IKTVA Schedule'!M$12),0)</f>
        <v>0</v>
      </c>
      <c r="S51" s="236">
        <v>0</v>
      </c>
      <c r="T51" s="239">
        <f t="shared" si="5"/>
        <v>0</v>
      </c>
      <c r="U51" s="54">
        <f t="shared" si="6"/>
        <v>0</v>
      </c>
      <c r="V51" s="54">
        <f t="shared" si="7"/>
        <v>0</v>
      </c>
    </row>
    <row r="52" spans="1:22" ht="14.45" customHeight="1" x14ac:dyDescent="0.25">
      <c r="A52" s="413"/>
      <c r="B52" s="407"/>
      <c r="C52" s="34"/>
      <c r="D52" s="23"/>
      <c r="E52" s="23"/>
      <c r="F52" s="279"/>
      <c r="G52" s="279"/>
      <c r="H52" s="273">
        <f>IFERROR(+'Page 2. IKTVA Schedule'!H$10/SUM('Page 2. IKTVA Schedule'!I$10,'Page 2. IKTVA Schedule'!I$12),0)</f>
        <v>0</v>
      </c>
      <c r="I52" s="235">
        <v>0</v>
      </c>
      <c r="J52" s="273">
        <f>IF(ISBLANK(E52),0,IF(AND(F52="Imported",E52&lt;&gt;"Car Agency",E52&lt;&gt;"Tire Agency"),0,VLOOKUP(E52,'CAPEX Categories'!$A$36:$C$80,3,0)))</f>
        <v>0</v>
      </c>
      <c r="K52" s="53">
        <f t="shared" si="0"/>
        <v>0</v>
      </c>
      <c r="L52" s="53">
        <f t="shared" si="1"/>
        <v>0</v>
      </c>
      <c r="M52" s="273">
        <f>IFERROR(+'Page 2. IKTVA Schedule'!J$10/SUM('Page 2. IKTVA Schedule'!K$10,'Page 2. IKTVA Schedule'!K$12),0)</f>
        <v>0</v>
      </c>
      <c r="N52" s="235">
        <v>0</v>
      </c>
      <c r="O52" s="371">
        <f t="shared" si="2"/>
        <v>0</v>
      </c>
      <c r="P52" s="53">
        <f t="shared" si="3"/>
        <v>0</v>
      </c>
      <c r="Q52" s="53">
        <f t="shared" si="4"/>
        <v>0</v>
      </c>
      <c r="R52" s="273">
        <f>IFERROR(+'Page 2. IKTVA Schedule'!L$10/SUM('Page 2. IKTVA Schedule'!M$10,'Page 2. IKTVA Schedule'!M$12),0)</f>
        <v>0</v>
      </c>
      <c r="S52" s="235">
        <v>0</v>
      </c>
      <c r="T52" s="371">
        <f t="shared" si="5"/>
        <v>0</v>
      </c>
      <c r="U52" s="53">
        <f t="shared" si="6"/>
        <v>0</v>
      </c>
      <c r="V52" s="53">
        <f t="shared" si="7"/>
        <v>0</v>
      </c>
    </row>
    <row r="53" spans="1:22" ht="14.45" customHeight="1" x14ac:dyDescent="0.25">
      <c r="A53" s="414"/>
      <c r="B53" s="406"/>
      <c r="C53" s="35"/>
      <c r="D53" s="24"/>
      <c r="E53" s="24"/>
      <c r="F53" s="280"/>
      <c r="G53" s="280"/>
      <c r="H53" s="274">
        <f>IFERROR(+'Page 2. IKTVA Schedule'!H$10/SUM('Page 2. IKTVA Schedule'!I$10,'Page 2. IKTVA Schedule'!I$12),0)</f>
        <v>0</v>
      </c>
      <c r="I53" s="236">
        <v>0</v>
      </c>
      <c r="J53" s="274">
        <f>IF(ISBLANK(E53),0,IF(AND(F53="Imported",E53&lt;&gt;"Car Agency",E53&lt;&gt;"Tire Agency"),0,VLOOKUP(E53,'CAPEX Categories'!$A$36:$C$80,3,0)))</f>
        <v>0</v>
      </c>
      <c r="K53" s="54">
        <f t="shared" si="0"/>
        <v>0</v>
      </c>
      <c r="L53" s="54">
        <f t="shared" si="1"/>
        <v>0</v>
      </c>
      <c r="M53" s="274">
        <f>IFERROR(+'Page 2. IKTVA Schedule'!J$10/SUM('Page 2. IKTVA Schedule'!K$10,'Page 2. IKTVA Schedule'!K$12),0)</f>
        <v>0</v>
      </c>
      <c r="N53" s="236">
        <v>0</v>
      </c>
      <c r="O53" s="239">
        <f t="shared" si="2"/>
        <v>0</v>
      </c>
      <c r="P53" s="54">
        <f t="shared" si="3"/>
        <v>0</v>
      </c>
      <c r="Q53" s="54">
        <f t="shared" si="4"/>
        <v>0</v>
      </c>
      <c r="R53" s="274">
        <f>IFERROR(+'Page 2. IKTVA Schedule'!L$10/SUM('Page 2. IKTVA Schedule'!M$10,'Page 2. IKTVA Schedule'!M$12),0)</f>
        <v>0</v>
      </c>
      <c r="S53" s="236">
        <v>0</v>
      </c>
      <c r="T53" s="239">
        <f t="shared" si="5"/>
        <v>0</v>
      </c>
      <c r="U53" s="54">
        <f t="shared" si="6"/>
        <v>0</v>
      </c>
      <c r="V53" s="54">
        <f t="shared" si="7"/>
        <v>0</v>
      </c>
    </row>
    <row r="54" spans="1:22" ht="14.45" customHeight="1" x14ac:dyDescent="0.25">
      <c r="A54" s="413"/>
      <c r="B54" s="407"/>
      <c r="C54" s="34"/>
      <c r="D54" s="23"/>
      <c r="E54" s="23"/>
      <c r="F54" s="279"/>
      <c r="G54" s="279"/>
      <c r="H54" s="273">
        <f>IFERROR(+'Page 2. IKTVA Schedule'!H$10/SUM('Page 2. IKTVA Schedule'!I$10,'Page 2. IKTVA Schedule'!I$12),0)</f>
        <v>0</v>
      </c>
      <c r="I54" s="235">
        <v>0</v>
      </c>
      <c r="J54" s="273">
        <f>IF(ISBLANK(E54),0,IF(AND(F54="Imported",E54&lt;&gt;"Car Agency",E54&lt;&gt;"Tire Agency"),0,VLOOKUP(E54,'CAPEX Categories'!$A$36:$C$80,3,0)))</f>
        <v>0</v>
      </c>
      <c r="K54" s="53">
        <f t="shared" si="0"/>
        <v>0</v>
      </c>
      <c r="L54" s="53">
        <f t="shared" si="1"/>
        <v>0</v>
      </c>
      <c r="M54" s="273">
        <f>IFERROR(+'Page 2. IKTVA Schedule'!J$10/SUM('Page 2. IKTVA Schedule'!K$10,'Page 2. IKTVA Schedule'!K$12),0)</f>
        <v>0</v>
      </c>
      <c r="N54" s="235">
        <v>0</v>
      </c>
      <c r="O54" s="371">
        <f t="shared" si="2"/>
        <v>0</v>
      </c>
      <c r="P54" s="53">
        <f t="shared" si="3"/>
        <v>0</v>
      </c>
      <c r="Q54" s="53">
        <f t="shared" si="4"/>
        <v>0</v>
      </c>
      <c r="R54" s="273">
        <f>IFERROR(+'Page 2. IKTVA Schedule'!L$10/SUM('Page 2. IKTVA Schedule'!M$10,'Page 2. IKTVA Schedule'!M$12),0)</f>
        <v>0</v>
      </c>
      <c r="S54" s="235">
        <v>0</v>
      </c>
      <c r="T54" s="371">
        <f t="shared" si="5"/>
        <v>0</v>
      </c>
      <c r="U54" s="53">
        <f t="shared" si="6"/>
        <v>0</v>
      </c>
      <c r="V54" s="53">
        <f t="shared" si="7"/>
        <v>0</v>
      </c>
    </row>
    <row r="55" spans="1:22" ht="14.45" customHeight="1" x14ac:dyDescent="0.25">
      <c r="A55" s="414"/>
      <c r="B55" s="406"/>
      <c r="C55" s="35"/>
      <c r="D55" s="24"/>
      <c r="E55" s="24"/>
      <c r="F55" s="280"/>
      <c r="G55" s="280"/>
      <c r="H55" s="274">
        <f>IFERROR(+'Page 2. IKTVA Schedule'!H$10/SUM('Page 2. IKTVA Schedule'!I$10,'Page 2. IKTVA Schedule'!I$12),0)</f>
        <v>0</v>
      </c>
      <c r="I55" s="236">
        <v>0</v>
      </c>
      <c r="J55" s="274">
        <f>IF(ISBLANK(E55),0,IF(AND(F55="Imported",E55&lt;&gt;"Car Agency",E55&lt;&gt;"Tire Agency"),0,VLOOKUP(E55,'CAPEX Categories'!$A$36:$C$80,3,0)))</f>
        <v>0</v>
      </c>
      <c r="K55" s="54">
        <f t="shared" si="0"/>
        <v>0</v>
      </c>
      <c r="L55" s="54">
        <f t="shared" si="1"/>
        <v>0</v>
      </c>
      <c r="M55" s="274">
        <f>IFERROR(+'Page 2. IKTVA Schedule'!J$10/SUM('Page 2. IKTVA Schedule'!K$10,'Page 2. IKTVA Schedule'!K$12),0)</f>
        <v>0</v>
      </c>
      <c r="N55" s="236">
        <v>0</v>
      </c>
      <c r="O55" s="239">
        <f t="shared" si="2"/>
        <v>0</v>
      </c>
      <c r="P55" s="54">
        <f t="shared" si="3"/>
        <v>0</v>
      </c>
      <c r="Q55" s="54">
        <f t="shared" si="4"/>
        <v>0</v>
      </c>
      <c r="R55" s="274">
        <f>IFERROR(+'Page 2. IKTVA Schedule'!L$10/SUM('Page 2. IKTVA Schedule'!M$10,'Page 2. IKTVA Schedule'!M$12),0)</f>
        <v>0</v>
      </c>
      <c r="S55" s="236">
        <v>0</v>
      </c>
      <c r="T55" s="239">
        <f t="shared" si="5"/>
        <v>0</v>
      </c>
      <c r="U55" s="54">
        <f t="shared" si="6"/>
        <v>0</v>
      </c>
      <c r="V55" s="54">
        <f t="shared" si="7"/>
        <v>0</v>
      </c>
    </row>
    <row r="56" spans="1:22" ht="14.45" customHeight="1" x14ac:dyDescent="0.25">
      <c r="A56" s="413"/>
      <c r="B56" s="392"/>
      <c r="C56" s="392"/>
      <c r="D56" s="393"/>
      <c r="E56" s="393"/>
      <c r="F56" s="394"/>
      <c r="G56" s="394"/>
      <c r="H56" s="395">
        <f>IFERROR(+'Page 2. IKTVA Schedule'!H$10/SUM('Page 2. IKTVA Schedule'!I$10,'Page 2. IKTVA Schedule'!I$12),0)</f>
        <v>0</v>
      </c>
      <c r="I56" s="396">
        <v>0</v>
      </c>
      <c r="J56" s="395">
        <f>IF(ISBLANK(E56),0,IF(AND(F56="Imported",E56&lt;&gt;"Car Agency",E56&lt;&gt;"Tire Agency"),0,VLOOKUP(E56,'CAPEX Categories'!$A$36:$C$80,3,0)))</f>
        <v>0</v>
      </c>
      <c r="K56" s="397">
        <f t="shared" ref="K56:K57" si="8">+J56*I56</f>
        <v>0</v>
      </c>
      <c r="L56" s="397">
        <f t="shared" ref="L56:L57" si="9">+H56*K56</f>
        <v>0</v>
      </c>
      <c r="M56" s="395">
        <f>IFERROR(+'Page 2. IKTVA Schedule'!J$10/SUM('Page 2. IKTVA Schedule'!K$10,'Page 2. IKTVA Schedule'!K$12),0)</f>
        <v>0</v>
      </c>
      <c r="N56" s="396">
        <v>0</v>
      </c>
      <c r="O56" s="398">
        <f t="shared" ref="O56:O57" si="10">J56</f>
        <v>0</v>
      </c>
      <c r="P56" s="397">
        <f t="shared" ref="P56:P57" si="11">+O56*N56</f>
        <v>0</v>
      </c>
      <c r="Q56" s="397">
        <f t="shared" ref="Q56:Q57" si="12">+M56*P56</f>
        <v>0</v>
      </c>
      <c r="R56" s="395">
        <f>IFERROR(+'Page 2. IKTVA Schedule'!L$10/SUM('Page 2. IKTVA Schedule'!M$10,'Page 2. IKTVA Schedule'!M$12),0)</f>
        <v>0</v>
      </c>
      <c r="S56" s="396">
        <v>0</v>
      </c>
      <c r="T56" s="398">
        <f t="shared" ref="T56:T57" si="13">J56</f>
        <v>0</v>
      </c>
      <c r="U56" s="397">
        <f t="shared" ref="U56:U57" si="14">+T56*S56</f>
        <v>0</v>
      </c>
      <c r="V56" s="397">
        <f t="shared" ref="V56:V57" si="15">+R56*U56</f>
        <v>0</v>
      </c>
    </row>
    <row r="57" spans="1:22" ht="14.45" customHeight="1" x14ac:dyDescent="0.25">
      <c r="A57" s="414"/>
      <c r="B57" s="406"/>
      <c r="C57" s="390"/>
      <c r="D57" s="24"/>
      <c r="E57" s="24"/>
      <c r="F57" s="280"/>
      <c r="G57" s="280"/>
      <c r="H57" s="274">
        <f>IFERROR(+'Page 2. IKTVA Schedule'!H$10/SUM('Page 2. IKTVA Schedule'!I$10,'Page 2. IKTVA Schedule'!I$12),0)</f>
        <v>0</v>
      </c>
      <c r="I57" s="236">
        <v>0</v>
      </c>
      <c r="J57" s="274">
        <f>IF(ISBLANK(E57),0,IF(AND(F57="Imported",E57&lt;&gt;"Car Agency",E57&lt;&gt;"Tire Agency"),0,VLOOKUP(E57,'CAPEX Categories'!$A$36:$C$80,3,0)))</f>
        <v>0</v>
      </c>
      <c r="K57" s="54">
        <f t="shared" si="8"/>
        <v>0</v>
      </c>
      <c r="L57" s="54">
        <f t="shared" si="9"/>
        <v>0</v>
      </c>
      <c r="M57" s="274">
        <f>IFERROR(+'Page 2. IKTVA Schedule'!J$10/SUM('Page 2. IKTVA Schedule'!K$10,'Page 2. IKTVA Schedule'!K$12),0)</f>
        <v>0</v>
      </c>
      <c r="N57" s="236">
        <v>0</v>
      </c>
      <c r="O57" s="239">
        <f t="shared" si="10"/>
        <v>0</v>
      </c>
      <c r="P57" s="54">
        <f t="shared" si="11"/>
        <v>0</v>
      </c>
      <c r="Q57" s="54">
        <f t="shared" si="12"/>
        <v>0</v>
      </c>
      <c r="R57" s="274">
        <f>IFERROR(+'Page 2. IKTVA Schedule'!L$10/SUM('Page 2. IKTVA Schedule'!M$10,'Page 2. IKTVA Schedule'!M$12),0)</f>
        <v>0</v>
      </c>
      <c r="S57" s="236">
        <v>0</v>
      </c>
      <c r="T57" s="239">
        <f t="shared" si="13"/>
        <v>0</v>
      </c>
      <c r="U57" s="54">
        <f t="shared" si="14"/>
        <v>0</v>
      </c>
      <c r="V57" s="54">
        <f t="shared" si="15"/>
        <v>0</v>
      </c>
    </row>
    <row r="58" spans="1:22" ht="14.45" customHeight="1" x14ac:dyDescent="0.25">
      <c r="A58" s="413"/>
      <c r="B58" s="407"/>
      <c r="C58" s="34"/>
      <c r="D58" s="23"/>
      <c r="E58" s="23"/>
      <c r="F58" s="279"/>
      <c r="G58" s="279"/>
      <c r="H58" s="273">
        <f>IFERROR(+'Page 2. IKTVA Schedule'!H$10/SUM('Page 2. IKTVA Schedule'!I$10,'Page 2. IKTVA Schedule'!I$12),0)</f>
        <v>0</v>
      </c>
      <c r="I58" s="235">
        <v>0</v>
      </c>
      <c r="J58" s="273">
        <f>IF(ISBLANK(E58),0,IF(AND(F58="Imported",E58&lt;&gt;"Car Agency",E58&lt;&gt;"Tire Agency"),0,VLOOKUP(E58,'CAPEX Categories'!$A$36:$C$80,3,0)))</f>
        <v>0</v>
      </c>
      <c r="K58" s="53">
        <f t="shared" si="0"/>
        <v>0</v>
      </c>
      <c r="L58" s="53">
        <f t="shared" si="1"/>
        <v>0</v>
      </c>
      <c r="M58" s="273">
        <f>IFERROR(+'Page 2. IKTVA Schedule'!J$10/SUM('Page 2. IKTVA Schedule'!K$10,'Page 2. IKTVA Schedule'!K$12),0)</f>
        <v>0</v>
      </c>
      <c r="N58" s="235">
        <v>0</v>
      </c>
      <c r="O58" s="371">
        <f t="shared" si="2"/>
        <v>0</v>
      </c>
      <c r="P58" s="53">
        <f t="shared" si="3"/>
        <v>0</v>
      </c>
      <c r="Q58" s="53">
        <f t="shared" si="4"/>
        <v>0</v>
      </c>
      <c r="R58" s="273">
        <f>IFERROR(+'Page 2. IKTVA Schedule'!L$10/SUM('Page 2. IKTVA Schedule'!M$10,'Page 2. IKTVA Schedule'!M$12),0)</f>
        <v>0</v>
      </c>
      <c r="S58" s="235">
        <v>0</v>
      </c>
      <c r="T58" s="371">
        <f t="shared" si="5"/>
        <v>0</v>
      </c>
      <c r="U58" s="53">
        <f t="shared" si="6"/>
        <v>0</v>
      </c>
      <c r="V58" s="53">
        <f t="shared" si="7"/>
        <v>0</v>
      </c>
    </row>
    <row r="59" spans="1:22" ht="14.45" customHeight="1" x14ac:dyDescent="0.25">
      <c r="A59" s="415" t="s">
        <v>457</v>
      </c>
      <c r="B59" s="410"/>
      <c r="C59" s="35"/>
      <c r="D59" s="24"/>
      <c r="E59" s="24"/>
      <c r="F59" s="280"/>
      <c r="G59" s="280"/>
      <c r="H59" s="274">
        <f>IFERROR(+'Page 2. IKTVA Schedule'!H$10/SUM('Page 2. IKTVA Schedule'!I$10,'Page 2. IKTVA Schedule'!I$12),0)</f>
        <v>0</v>
      </c>
      <c r="I59" s="236">
        <v>0</v>
      </c>
      <c r="J59" s="238">
        <v>0.7</v>
      </c>
      <c r="K59" s="54">
        <f t="shared" si="0"/>
        <v>0</v>
      </c>
      <c r="L59" s="54">
        <f t="shared" si="1"/>
        <v>0</v>
      </c>
      <c r="M59" s="274">
        <f>IFERROR(+'Page 2. IKTVA Schedule'!J$10/SUM('Page 2. IKTVA Schedule'!K$10,'Page 2. IKTVA Schedule'!K$12),0)</f>
        <v>0</v>
      </c>
      <c r="N59" s="236">
        <v>0</v>
      </c>
      <c r="O59" s="239">
        <f t="shared" si="2"/>
        <v>0.7</v>
      </c>
      <c r="P59" s="54">
        <f t="shared" si="3"/>
        <v>0</v>
      </c>
      <c r="Q59" s="54">
        <f t="shared" si="4"/>
        <v>0</v>
      </c>
      <c r="R59" s="274">
        <f>IFERROR(+'Page 2. IKTVA Schedule'!L$10/SUM('Page 2. IKTVA Schedule'!M$10,'Page 2. IKTVA Schedule'!M$12),0)</f>
        <v>0</v>
      </c>
      <c r="S59" s="236">
        <v>0</v>
      </c>
      <c r="T59" s="239">
        <f t="shared" si="5"/>
        <v>0.7</v>
      </c>
      <c r="U59" s="54">
        <f t="shared" si="6"/>
        <v>0</v>
      </c>
      <c r="V59" s="54">
        <f t="shared" si="7"/>
        <v>0</v>
      </c>
    </row>
    <row r="60" spans="1:22" ht="14.45" customHeight="1" x14ac:dyDescent="0.25">
      <c r="A60" s="416" t="s">
        <v>458</v>
      </c>
      <c r="B60" s="408"/>
      <c r="C60" s="34"/>
      <c r="D60" s="23"/>
      <c r="E60" s="23"/>
      <c r="F60" s="279"/>
      <c r="G60" s="279"/>
      <c r="H60" s="273">
        <f>IFERROR(+'Page 2. IKTVA Schedule'!H$10/SUM('Page 2. IKTVA Schedule'!I$10,'Page 2. IKTVA Schedule'!I$12),0)</f>
        <v>0</v>
      </c>
      <c r="I60" s="235">
        <v>0</v>
      </c>
      <c r="J60" s="237">
        <v>0.4</v>
      </c>
      <c r="K60" s="53">
        <f t="shared" si="0"/>
        <v>0</v>
      </c>
      <c r="L60" s="53">
        <f t="shared" si="1"/>
        <v>0</v>
      </c>
      <c r="M60" s="273">
        <f>IFERROR(+'Page 2. IKTVA Schedule'!J$10/SUM('Page 2. IKTVA Schedule'!K$10,'Page 2. IKTVA Schedule'!K$12),0)</f>
        <v>0</v>
      </c>
      <c r="N60" s="235">
        <v>0</v>
      </c>
      <c r="O60" s="371">
        <f t="shared" si="2"/>
        <v>0.4</v>
      </c>
      <c r="P60" s="53">
        <f t="shared" si="3"/>
        <v>0</v>
      </c>
      <c r="Q60" s="53">
        <f t="shared" si="4"/>
        <v>0</v>
      </c>
      <c r="R60" s="273">
        <f>IFERROR(+'Page 2. IKTVA Schedule'!L$10/SUM('Page 2. IKTVA Schedule'!M$10,'Page 2. IKTVA Schedule'!M$12),0)</f>
        <v>0</v>
      </c>
      <c r="S60" s="235">
        <v>0</v>
      </c>
      <c r="T60" s="371">
        <f t="shared" si="5"/>
        <v>0.4</v>
      </c>
      <c r="U60" s="53">
        <f t="shared" si="6"/>
        <v>0</v>
      </c>
      <c r="V60" s="53">
        <f t="shared" si="7"/>
        <v>0</v>
      </c>
    </row>
    <row r="61" spans="1:22" x14ac:dyDescent="0.25">
      <c r="A61" s="417" t="s">
        <v>104</v>
      </c>
      <c r="B61" s="409"/>
      <c r="C61" s="399"/>
      <c r="D61" s="400"/>
      <c r="E61" s="400"/>
      <c r="F61" s="401"/>
      <c r="G61" s="401"/>
      <c r="H61" s="274">
        <f>IFERROR(+'Page 2. IKTVA Schedule'!H$10/SUM('Page 2. IKTVA Schedule'!I$10,'Page 2. IKTVA Schedule'!I$12),0)</f>
        <v>0</v>
      </c>
      <c r="I61" s="236">
        <v>0</v>
      </c>
      <c r="J61" s="52">
        <f>+IF((I62-I61)&gt;I62*0.7,1,IF((I62-I61)&gt;I62*0.6,0.8,IF((I62-I61)&gt;I62*0.5,0.6,IF((I62-I61)&gt;I62*0.4,0.4,0.2))))</f>
        <v>0.2</v>
      </c>
      <c r="K61" s="16">
        <f t="shared" si="0"/>
        <v>0</v>
      </c>
      <c r="L61" s="16">
        <f t="shared" si="1"/>
        <v>0</v>
      </c>
      <c r="M61" s="274">
        <f>IFERROR(+'Page 2. IKTVA Schedule'!J$10/SUM('Page 2. IKTVA Schedule'!K$10,'Page 2. IKTVA Schedule'!K$12),0)</f>
        <v>0</v>
      </c>
      <c r="N61" s="236">
        <v>0</v>
      </c>
      <c r="O61" s="52">
        <f>+IF((N62-N61)&gt;N62*0.7,1,IF((N62-N61)&gt;N62*0.6,0.8,IF((N62-N61)&gt;N62*0.5,0.6,IF((N62-N61)&gt;N62*0.4,0.4,0.2))))</f>
        <v>0.2</v>
      </c>
      <c r="P61" s="16">
        <f t="shared" si="3"/>
        <v>0</v>
      </c>
      <c r="Q61" s="16">
        <f t="shared" si="4"/>
        <v>0</v>
      </c>
      <c r="R61" s="274">
        <f>IFERROR(+'Page 2. IKTVA Schedule'!L$10/SUM('Page 2. IKTVA Schedule'!M$10,'Page 2. IKTVA Schedule'!M$12),0)</f>
        <v>0</v>
      </c>
      <c r="S61" s="236">
        <v>0</v>
      </c>
      <c r="T61" s="52">
        <f>+IF((S62-S61)&gt;S62*0.7,1,IF((S62-S61)&gt;S62*0.6,0.8,IF((S62-S61)&gt;S62*0.5,0.6,IF((S62-S61)&gt;S62*0.4,0.4,0.2))))</f>
        <v>0.2</v>
      </c>
      <c r="U61" s="16">
        <f t="shared" si="6"/>
        <v>0</v>
      </c>
      <c r="V61" s="16">
        <f t="shared" si="7"/>
        <v>0</v>
      </c>
    </row>
    <row r="62" spans="1:22" ht="23.25" x14ac:dyDescent="0.35">
      <c r="A62" s="499" t="s">
        <v>23</v>
      </c>
      <c r="B62" s="500"/>
      <c r="C62" s="36"/>
      <c r="D62" s="37"/>
      <c r="E62" s="37"/>
      <c r="F62" s="39"/>
      <c r="G62" s="37"/>
      <c r="H62" s="37"/>
      <c r="I62" s="40">
        <f>SUM(I8:I61)</f>
        <v>0</v>
      </c>
      <c r="J62" s="39"/>
      <c r="K62" s="40">
        <f>SUM(K8:K61)</f>
        <v>0</v>
      </c>
      <c r="L62" s="40">
        <f>SUM(L8:L61)</f>
        <v>0</v>
      </c>
      <c r="M62" s="37"/>
      <c r="N62" s="40">
        <f>SUM(N8:N61)</f>
        <v>0</v>
      </c>
      <c r="O62" s="39"/>
      <c r="P62" s="40">
        <f>SUM(P8:P61)</f>
        <v>0</v>
      </c>
      <c r="Q62" s="40">
        <f>SUM(Q8:Q61)</f>
        <v>0</v>
      </c>
      <c r="R62" s="37"/>
      <c r="S62" s="40">
        <f>SUM(S8:S61)</f>
        <v>0</v>
      </c>
      <c r="T62" s="39"/>
      <c r="U62" s="40">
        <f>SUM(U8:U61)</f>
        <v>0</v>
      </c>
      <c r="V62" s="40">
        <f>SUM(V8:V61)</f>
        <v>0</v>
      </c>
    </row>
    <row r="63" spans="1:22" s="44" customFormat="1" ht="11.25" x14ac:dyDescent="0.2">
      <c r="A63" s="42" t="s">
        <v>102</v>
      </c>
      <c r="B63" s="42"/>
      <c r="C63" s="43"/>
      <c r="F63" s="281"/>
      <c r="I63" s="45" t="str">
        <f>IFERROR(SUM(I8:I60)/I62,"")</f>
        <v/>
      </c>
      <c r="L63" s="45"/>
      <c r="N63" s="45" t="str">
        <f>IFERROR(SUM(N8:N60)/N62,"")</f>
        <v/>
      </c>
      <c r="Q63" s="45"/>
      <c r="S63" s="45" t="str">
        <f>IFERROR(SUM(S8:S60)/S62,"")</f>
        <v/>
      </c>
      <c r="V63" s="45"/>
    </row>
    <row r="64" spans="1:22" x14ac:dyDescent="0.25">
      <c r="A64" s="46"/>
      <c r="B64" s="46"/>
      <c r="C64" s="46"/>
      <c r="I64" s="47"/>
      <c r="N64" s="47"/>
      <c r="S64" s="47"/>
    </row>
    <row r="65" spans="1:22" x14ac:dyDescent="0.25">
      <c r="A65" s="48"/>
      <c r="D65" s="49"/>
      <c r="E65" s="49"/>
      <c r="F65" s="282"/>
      <c r="G65" s="49"/>
      <c r="H65" s="49"/>
      <c r="I65" s="285"/>
      <c r="J65" s="285"/>
      <c r="K65" s="285"/>
      <c r="L65" s="285"/>
      <c r="M65" s="49"/>
      <c r="N65" s="285"/>
      <c r="O65" s="285"/>
      <c r="P65" s="285"/>
      <c r="Q65" s="285"/>
      <c r="R65" s="49"/>
      <c r="S65" s="50"/>
      <c r="T65" s="50"/>
      <c r="U65" s="230"/>
      <c r="V65" s="50"/>
    </row>
    <row r="66" spans="1:22" ht="17.25" x14ac:dyDescent="0.25">
      <c r="A66" s="50" t="s">
        <v>25</v>
      </c>
      <c r="D66" s="49"/>
      <c r="E66" s="49"/>
      <c r="F66" s="282"/>
      <c r="G66" s="49"/>
      <c r="H66" s="49"/>
      <c r="I66" s="285"/>
      <c r="J66" s="285"/>
      <c r="K66" s="285"/>
      <c r="L66" s="285"/>
      <c r="M66" s="49"/>
      <c r="N66" s="285"/>
      <c r="O66" s="285"/>
      <c r="P66" s="285"/>
      <c r="Q66" s="285"/>
      <c r="R66" s="49"/>
      <c r="S66" s="50"/>
      <c r="T66" s="50"/>
      <c r="U66" s="230"/>
      <c r="V66" s="50"/>
    </row>
    <row r="67" spans="1:22" ht="17.25" x14ac:dyDescent="0.25">
      <c r="A67" s="50" t="s">
        <v>24</v>
      </c>
      <c r="D67" s="50"/>
      <c r="E67" s="381"/>
      <c r="G67" s="50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30"/>
      <c r="S67" s="50"/>
      <c r="T67" s="50"/>
      <c r="U67" s="230"/>
      <c r="V67" s="50"/>
    </row>
  </sheetData>
  <sheetProtection algorithmName="SHA-512" hashValue="l3UMcwlHWegpwGxPLDkQJTIVrLULFWf9qSisUKQrQiKf2qdFxRDaGMeuJTIUNJsTp2p0OluzR3Hz+cGNnMSbjw==" saltValue="43T/riHBdZuy5AC0MCoBTQ==" spinCount="100000" sheet="1" objects="1" scenarios="1" formatCells="0" insertColumns="0" insertRows="0" insertHyperlinks="0" deleteColumns="0" deleteRows="0" selectLockedCells="1" sort="0" autoFilter="0" pivotTables="0"/>
  <mergeCells count="9">
    <mergeCell ref="A62:B62"/>
    <mergeCell ref="R6:V6"/>
    <mergeCell ref="M6:Q6"/>
    <mergeCell ref="H6:L6"/>
    <mergeCell ref="A1:D1"/>
    <mergeCell ref="A2:D2"/>
    <mergeCell ref="A3:B3"/>
    <mergeCell ref="A4:B4"/>
    <mergeCell ref="A5:B5"/>
  </mergeCells>
  <conditionalFormatting sqref="S63">
    <cfRule type="containsBlanks" dxfId="42" priority="18">
      <formula>LEN(TRIM(S63))=0</formula>
    </cfRule>
    <cfRule type="cellIs" dxfId="41" priority="19" operator="greaterThanOrEqual">
      <formula>0.6949</formula>
    </cfRule>
    <cfRule type="cellIs" dxfId="40" priority="20" operator="lessThan">
      <formula>0.6949</formula>
    </cfRule>
  </conditionalFormatting>
  <conditionalFormatting sqref="V63">
    <cfRule type="containsBlanks" dxfId="39" priority="21">
      <formula>LEN(TRIM(V63))=0</formula>
    </cfRule>
    <cfRule type="cellIs" dxfId="38" priority="22" operator="greaterThanOrEqual">
      <formula>0.6949</formula>
    </cfRule>
    <cfRule type="cellIs" dxfId="37" priority="23" operator="lessThan">
      <formula>0.6949</formula>
    </cfRule>
  </conditionalFormatting>
  <conditionalFormatting sqref="N63">
    <cfRule type="containsBlanks" dxfId="36" priority="12">
      <formula>LEN(TRIM(N63))=0</formula>
    </cfRule>
    <cfRule type="cellIs" dxfId="35" priority="13" operator="greaterThanOrEqual">
      <formula>0.6949</formula>
    </cfRule>
    <cfRule type="cellIs" dxfId="34" priority="14" operator="lessThan">
      <formula>0.6949</formula>
    </cfRule>
  </conditionalFormatting>
  <conditionalFormatting sqref="Q63">
    <cfRule type="containsBlanks" dxfId="33" priority="15">
      <formula>LEN(TRIM(Q63))=0</formula>
    </cfRule>
    <cfRule type="cellIs" dxfId="32" priority="16" operator="greaterThanOrEqual">
      <formula>0.6949</formula>
    </cfRule>
    <cfRule type="cellIs" dxfId="31" priority="17" operator="lessThan">
      <formula>0.6949</formula>
    </cfRule>
  </conditionalFormatting>
  <conditionalFormatting sqref="I63">
    <cfRule type="containsBlanks" dxfId="30" priority="6">
      <formula>LEN(TRIM(I63))=0</formula>
    </cfRule>
    <cfRule type="cellIs" dxfId="29" priority="7" operator="greaterThanOrEqual">
      <formula>0.6949</formula>
    </cfRule>
    <cfRule type="cellIs" dxfId="28" priority="8" operator="lessThan">
      <formula>0.6949</formula>
    </cfRule>
  </conditionalFormatting>
  <conditionalFormatting sqref="L63">
    <cfRule type="containsBlanks" dxfId="27" priority="9">
      <formula>LEN(TRIM(L63))=0</formula>
    </cfRule>
    <cfRule type="cellIs" dxfId="26" priority="10" operator="greaterThanOrEqual">
      <formula>0.6949</formula>
    </cfRule>
    <cfRule type="cellIs" dxfId="25" priority="11" operator="lessThan">
      <formula>0.6949</formula>
    </cfRule>
  </conditionalFormatting>
  <conditionalFormatting sqref="J8:J58">
    <cfRule type="expression" dxfId="24" priority="3">
      <formula>AND($F8="Imported",$E8&lt;&gt;"Car Agency",$E8&lt;&gt;"Tire Agency",$J8&lt;&gt;0)</formula>
    </cfRule>
  </conditionalFormatting>
  <pageMargins left="0.5" right="0.25" top="0.75" bottom="0.75" header="0.3" footer="0.3"/>
  <pageSetup scale="33" orientation="landscape" r:id="rId1"/>
  <headerFooter differentOddEven="1">
    <oddFooter>&amp;CSaudi Aramco: Confidential&amp;RPublished March 3, 2017</oddFooter>
    <evenFooter>&amp;CSaudi Aramco: Confidential</even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E675057-8FD4-4995-BE44-5D432FB2FEA9}">
            <xm:f>AND($J8&lt;&gt;VLOOKUP($E8,'CAPEX Categories'!$A$36:$C$80,3,0),$F8&lt;&gt;"Imported")</xm:f>
            <x14:dxf>
              <font>
                <color rgb="FFFF0000"/>
              </font>
            </x14:dxf>
          </x14:cfRule>
          <x14:cfRule type="expression" priority="2" id="{894215CD-7CFC-47B5-A7C1-B36ABABAC022}">
            <xm:f>AND($J8&lt;&gt;VLOOKUP($E8,'CAPEX Categories'!$A$36:$C$80,3,0),(OR($E8="Car Agency",$E8="Tire Agency")))</xm:f>
            <x14:dxf>
              <font>
                <color rgb="FFFF0000"/>
              </font>
            </x14:dxf>
          </x14:cfRule>
          <xm:sqref>J8:J58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'CAPEX Categories'!$A$24:$A$25</xm:f>
          </x14:formula1>
          <xm:sqref>G8:G60</xm:sqref>
        </x14:dataValidation>
        <x14:dataValidation type="list" allowBlank="1" showInputMessage="1" showErrorMessage="1">
          <x14:formula1>
            <xm:f>'CAPEX Categories'!$A$27:$A$29</xm:f>
          </x14:formula1>
          <xm:sqref>F8:F58</xm:sqref>
        </x14:dataValidation>
        <x14:dataValidation type="list" allowBlank="1" showInputMessage="1" showErrorMessage="1">
          <x14:formula1>
            <xm:f>'CAPEX Categories'!$A$36:$A$80</xm:f>
          </x14:formula1>
          <xm:sqref>E8:E58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765"/>
  <sheetViews>
    <sheetView showGridLines="0" zoomScaleNormal="100" workbookViewId="0">
      <selection activeCell="E11" sqref="E11:E12"/>
    </sheetView>
  </sheetViews>
  <sheetFormatPr defaultColWidth="14.85546875" defaultRowHeight="15" x14ac:dyDescent="0.25"/>
  <cols>
    <col min="1" max="1" width="6.28515625" style="41" customWidth="1"/>
    <col min="2" max="2" width="45" style="41" customWidth="1"/>
    <col min="3" max="3" width="30.85546875" style="41" customWidth="1"/>
    <col min="4" max="6" width="15.85546875" style="41" customWidth="1"/>
    <col min="7" max="16384" width="14.85546875" style="41"/>
  </cols>
  <sheetData>
    <row r="1" spans="1:51" ht="26.25" x14ac:dyDescent="0.4">
      <c r="A1" s="483" t="str">
        <f>+'Page 1. Company Information'!$B$2</f>
        <v>Name of Company</v>
      </c>
      <c r="B1" s="483"/>
      <c r="C1" s="48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3.25" x14ac:dyDescent="0.35">
      <c r="A2" s="484" t="s">
        <v>89</v>
      </c>
      <c r="B2" s="484"/>
      <c r="C2" s="48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1" x14ac:dyDescent="0.35">
      <c r="A3" s="498"/>
      <c r="B3" s="498"/>
      <c r="C3" s="5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.75" x14ac:dyDescent="0.25">
      <c r="A4" s="498" t="s">
        <v>4</v>
      </c>
      <c r="B4" s="498"/>
      <c r="C4" s="5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21" x14ac:dyDescent="0.35">
      <c r="A5" s="502" t="s">
        <v>165</v>
      </c>
      <c r="B5" s="50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1" x14ac:dyDescent="0.35">
      <c r="D6" s="232">
        <f>+'Page 1. Company Information'!B3</f>
        <v>43100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51" customFormat="1" ht="45" customHeight="1" x14ac:dyDescent="0.25">
      <c r="A7" s="507" t="s">
        <v>7</v>
      </c>
      <c r="B7" s="508"/>
      <c r="C7" s="61" t="s">
        <v>74</v>
      </c>
      <c r="D7" s="61" t="s">
        <v>105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4.45" customHeight="1" x14ac:dyDescent="0.35">
      <c r="A8" s="505"/>
      <c r="B8" s="506"/>
      <c r="C8" s="23"/>
      <c r="D8" s="235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4.45" customHeight="1" x14ac:dyDescent="0.35">
      <c r="A9" s="503"/>
      <c r="B9" s="504"/>
      <c r="C9" s="24"/>
      <c r="D9" s="2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4.45" customHeight="1" x14ac:dyDescent="0.25">
      <c r="A10" s="505"/>
      <c r="B10" s="506"/>
      <c r="C10" s="23"/>
      <c r="D10" s="23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4.45" customHeight="1" x14ac:dyDescent="0.35">
      <c r="A11" s="503"/>
      <c r="B11" s="504"/>
      <c r="C11" s="24"/>
      <c r="D11" s="2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4.45" customHeight="1" x14ac:dyDescent="0.35">
      <c r="A12" s="505"/>
      <c r="B12" s="506"/>
      <c r="C12" s="23"/>
      <c r="D12" s="235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4.45" customHeight="1" x14ac:dyDescent="0.25">
      <c r="A13" s="503"/>
      <c r="B13" s="504"/>
      <c r="C13" s="24"/>
      <c r="D13" s="236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4.45" customHeight="1" x14ac:dyDescent="0.35">
      <c r="A14" s="505"/>
      <c r="B14" s="506"/>
      <c r="C14" s="23"/>
      <c r="D14" s="235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4.45" customHeight="1" x14ac:dyDescent="0.35">
      <c r="A15" s="503"/>
      <c r="B15" s="504"/>
      <c r="C15" s="24"/>
      <c r="D15" s="236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4.45" customHeight="1" x14ac:dyDescent="0.25">
      <c r="A16" s="505"/>
      <c r="B16" s="506"/>
      <c r="C16" s="23"/>
      <c r="D16" s="235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4.45" customHeight="1" x14ac:dyDescent="0.35">
      <c r="A17" s="503"/>
      <c r="B17" s="504"/>
      <c r="C17" s="24"/>
      <c r="D17" s="236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4.45" customHeight="1" x14ac:dyDescent="0.35">
      <c r="A18" s="505"/>
      <c r="B18" s="506"/>
      <c r="C18" s="23"/>
      <c r="D18" s="235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4.45" customHeight="1" x14ac:dyDescent="0.25">
      <c r="A19" s="503"/>
      <c r="B19" s="504"/>
      <c r="C19" s="24"/>
      <c r="D19" s="236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4.45" customHeight="1" x14ac:dyDescent="0.35">
      <c r="A20" s="505"/>
      <c r="B20" s="506"/>
      <c r="C20" s="23"/>
      <c r="D20" s="235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4.45" customHeight="1" x14ac:dyDescent="0.35">
      <c r="A21" s="503"/>
      <c r="B21" s="504"/>
      <c r="C21" s="24"/>
      <c r="D21" s="2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4.45" customHeight="1" x14ac:dyDescent="0.25">
      <c r="A22" s="505"/>
      <c r="B22" s="506"/>
      <c r="C22" s="23"/>
      <c r="D22" s="235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21" x14ac:dyDescent="0.35">
      <c r="A23" s="499" t="s">
        <v>48</v>
      </c>
      <c r="B23" s="500"/>
      <c r="C23" s="37"/>
      <c r="D23" s="40">
        <f>SUM(D8:D22)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1" x14ac:dyDescent="0.35">
      <c r="A24" s="46"/>
      <c r="B24" s="46"/>
      <c r="D24" s="4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25">
      <c r="A25" s="48"/>
      <c r="C25" s="49"/>
      <c r="D25" s="5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21" x14ac:dyDescent="0.3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1" x14ac:dyDescent="0.3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1" x14ac:dyDescent="0.3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1" x14ac:dyDescent="0.3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21" x14ac:dyDescent="0.3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5:51" ht="21" x14ac:dyDescent="0.3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5:5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5:51" ht="21" x14ac:dyDescent="0.3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5:51" ht="21" x14ac:dyDescent="0.3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5:5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5:51" ht="21" x14ac:dyDescent="0.3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5:51" ht="21" x14ac:dyDescent="0.3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5:51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5:51" ht="21" x14ac:dyDescent="0.3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5:51" ht="21" x14ac:dyDescent="0.3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5:5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5:51" ht="21" x14ac:dyDescent="0.3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5:51" ht="21" x14ac:dyDescent="0.3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5:5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5:51" ht="21" x14ac:dyDescent="0.3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5:51" ht="21" x14ac:dyDescent="0.3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5:5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5:51" ht="21" x14ac:dyDescent="0.3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5:51" ht="21" x14ac:dyDescent="0.3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5:5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5:51" ht="21" x14ac:dyDescent="0.3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5:51" ht="21" x14ac:dyDescent="0.3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5:5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5:51" ht="21" x14ac:dyDescent="0.3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5:51" ht="21" x14ac:dyDescent="0.3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5:5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5:51" ht="21" x14ac:dyDescent="0.3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5:51" ht="21" x14ac:dyDescent="0.3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5:5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5:51" ht="21" x14ac:dyDescent="0.3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5:51" ht="21" x14ac:dyDescent="0.3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5:5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5:51" ht="21" x14ac:dyDescent="0.3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5:51" ht="21" x14ac:dyDescent="0.3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5:5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5:51" ht="21" x14ac:dyDescent="0.3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5:51" ht="21" x14ac:dyDescent="0.3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5:5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5:51" ht="21" x14ac:dyDescent="0.3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5:51" ht="21" x14ac:dyDescent="0.3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5:5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5:51" ht="21" x14ac:dyDescent="0.3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5:51" ht="21" x14ac:dyDescent="0.3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5:5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5:51" ht="21" x14ac:dyDescent="0.3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5:51" ht="21" x14ac:dyDescent="0.3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5:5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5:51" ht="21" x14ac:dyDescent="0.3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5:51" ht="21" x14ac:dyDescent="0.3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5:5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5:51" ht="21" x14ac:dyDescent="0.3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5:51" ht="21" x14ac:dyDescent="0.3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5:5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5:51" ht="21" x14ac:dyDescent="0.3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5:51" ht="21" x14ac:dyDescent="0.3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5:5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5:51" ht="21" x14ac:dyDescent="0.3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5:51" ht="21" x14ac:dyDescent="0.3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5:5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5:51" ht="21" x14ac:dyDescent="0.3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5:51" ht="21" x14ac:dyDescent="0.3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5:5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5:51" ht="21" x14ac:dyDescent="0.3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5:51" ht="21" x14ac:dyDescent="0.3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5:5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5:51" ht="21" x14ac:dyDescent="0.3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5:51" ht="21" x14ac:dyDescent="0.3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5:5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5:51" ht="21" x14ac:dyDescent="0.3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5:51" ht="21" x14ac:dyDescent="0.3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5:5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5:51" ht="21" x14ac:dyDescent="0.3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5:51" ht="21" x14ac:dyDescent="0.3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5:5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5:51" ht="21" x14ac:dyDescent="0.3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5:51" ht="21" x14ac:dyDescent="0.3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5:5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5:51" ht="21" x14ac:dyDescent="0.3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5:51" ht="21" x14ac:dyDescent="0.3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5:5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5:51" ht="21" x14ac:dyDescent="0.3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5:51" ht="21" x14ac:dyDescent="0.3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5:5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5:51" ht="21" x14ac:dyDescent="0.3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5:51" ht="21" x14ac:dyDescent="0.3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5:5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5:51" ht="21" x14ac:dyDescent="0.3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5:51" ht="21" x14ac:dyDescent="0.3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5:5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5:51" ht="21" x14ac:dyDescent="0.3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5:51" ht="21" x14ac:dyDescent="0.3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5:5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5:51" ht="21" x14ac:dyDescent="0.3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5:51" ht="21" x14ac:dyDescent="0.3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5:5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5:51" ht="21" x14ac:dyDescent="0.3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5:51" ht="21" x14ac:dyDescent="0.3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5:5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5:51" ht="21" x14ac:dyDescent="0.3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5:51" ht="21" x14ac:dyDescent="0.3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5:5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5:51" ht="21" x14ac:dyDescent="0.3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5:51" ht="21" x14ac:dyDescent="0.3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5:5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5:51" ht="21" x14ac:dyDescent="0.3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5:51" ht="21" x14ac:dyDescent="0.3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5:5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5:51" ht="21" x14ac:dyDescent="0.3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5:51" ht="21" x14ac:dyDescent="0.3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5:5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5:51" ht="21" x14ac:dyDescent="0.3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5:51" ht="21" x14ac:dyDescent="0.3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5:5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5:51" ht="21" x14ac:dyDescent="0.3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5:51" ht="21" x14ac:dyDescent="0.3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5:5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5:51" ht="21" x14ac:dyDescent="0.3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5:51" ht="21" x14ac:dyDescent="0.3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5:5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5:51" ht="21" x14ac:dyDescent="0.3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5:51" ht="21" x14ac:dyDescent="0.3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5:5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5:51" ht="21" x14ac:dyDescent="0.3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5:51" ht="21" x14ac:dyDescent="0.3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5:5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5:51" ht="21" x14ac:dyDescent="0.3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5:51" ht="21" x14ac:dyDescent="0.3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5:5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5:51" ht="21" x14ac:dyDescent="0.3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5:51" ht="21" x14ac:dyDescent="0.3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5:5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5:51" ht="21" x14ac:dyDescent="0.3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5:51" ht="21" x14ac:dyDescent="0.3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5:5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5:51" ht="21" x14ac:dyDescent="0.3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5:51" ht="21" x14ac:dyDescent="0.3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5:5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5:51" ht="21" x14ac:dyDescent="0.3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5:51" ht="21" x14ac:dyDescent="0.3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5:5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5:51" ht="21" x14ac:dyDescent="0.3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5:51" ht="21" x14ac:dyDescent="0.3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5:5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5:51" ht="21" x14ac:dyDescent="0.3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5:51" ht="21" x14ac:dyDescent="0.3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5:5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5:51" ht="21" x14ac:dyDescent="0.3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5:51" ht="21" x14ac:dyDescent="0.3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5:5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5:51" ht="21" x14ac:dyDescent="0.3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5:51" ht="21" x14ac:dyDescent="0.3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5:5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5:51" ht="21" x14ac:dyDescent="0.3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5:51" ht="21" x14ac:dyDescent="0.3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5:5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5:51" ht="21" x14ac:dyDescent="0.3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5:51" ht="21" x14ac:dyDescent="0.3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5:5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5:51" ht="21" x14ac:dyDescent="0.3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5:51" ht="21" x14ac:dyDescent="0.3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5:5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5:51" ht="21" x14ac:dyDescent="0.3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5:51" ht="21" x14ac:dyDescent="0.3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5:5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5:51" ht="21" x14ac:dyDescent="0.3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5:51" ht="21" x14ac:dyDescent="0.3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5:5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5:51" ht="21" x14ac:dyDescent="0.3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5:51" ht="21" x14ac:dyDescent="0.3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5:5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5:51" ht="21" x14ac:dyDescent="0.3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5:51" ht="21" x14ac:dyDescent="0.3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5:5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5:51" ht="21" x14ac:dyDescent="0.3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5:51" ht="21" x14ac:dyDescent="0.3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5:5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5:51" ht="21" x14ac:dyDescent="0.3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5:51" ht="21" x14ac:dyDescent="0.3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5:5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5:51" ht="21" x14ac:dyDescent="0.3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5:51" ht="21" x14ac:dyDescent="0.3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5:5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5:51" ht="21" x14ac:dyDescent="0.3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5:51" ht="21" x14ac:dyDescent="0.3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5:5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5:51" ht="21" x14ac:dyDescent="0.3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5:51" ht="21" x14ac:dyDescent="0.3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5:5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5:51" ht="21" x14ac:dyDescent="0.3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5:51" ht="21" x14ac:dyDescent="0.3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5:5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5:51" ht="21" x14ac:dyDescent="0.3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5:51" ht="21" x14ac:dyDescent="0.3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5:5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5:51" ht="21" x14ac:dyDescent="0.3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5:51" ht="21" x14ac:dyDescent="0.3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5:5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5:51" ht="21" x14ac:dyDescent="0.3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5:51" ht="21" x14ac:dyDescent="0.3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5:5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5:51" ht="21" x14ac:dyDescent="0.3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5:51" ht="21" x14ac:dyDescent="0.3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5:5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5:51" ht="21" x14ac:dyDescent="0.3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5:51" ht="21" x14ac:dyDescent="0.3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5:5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5:51" ht="21" x14ac:dyDescent="0.3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5:51" ht="21" x14ac:dyDescent="0.3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5:5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5:51" ht="21" x14ac:dyDescent="0.3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5:51" ht="21" x14ac:dyDescent="0.3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5:5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5:51" ht="21" x14ac:dyDescent="0.3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5:51" ht="21" x14ac:dyDescent="0.3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5:5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5:51" ht="21" x14ac:dyDescent="0.3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5:51" ht="21" x14ac:dyDescent="0.3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5:5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5:51" ht="21" x14ac:dyDescent="0.3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5:51" ht="21" x14ac:dyDescent="0.3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5:5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5:51" ht="21" x14ac:dyDescent="0.3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5:51" ht="21" x14ac:dyDescent="0.3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5:5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5:51" ht="21" x14ac:dyDescent="0.3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5:51" ht="21" x14ac:dyDescent="0.3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5:5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5:51" ht="21" x14ac:dyDescent="0.3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5:51" ht="21" x14ac:dyDescent="0.3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5:5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5:51" ht="21" x14ac:dyDescent="0.3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5:51" ht="21" x14ac:dyDescent="0.3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5:5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5:51" ht="21" x14ac:dyDescent="0.3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5:51" ht="21" x14ac:dyDescent="0.3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5:5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5:51" ht="21" x14ac:dyDescent="0.3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5:51" ht="21" x14ac:dyDescent="0.3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5:5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5:51" ht="21" x14ac:dyDescent="0.3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5:51" ht="21" x14ac:dyDescent="0.3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5:5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5:51" ht="21" x14ac:dyDescent="0.3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5:51" ht="21" x14ac:dyDescent="0.3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5:5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5:51" ht="21" x14ac:dyDescent="0.3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5:51" ht="21" x14ac:dyDescent="0.3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5:5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5:51" ht="21" x14ac:dyDescent="0.3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5:51" ht="21" x14ac:dyDescent="0.3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5:5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5:51" ht="21" x14ac:dyDescent="0.3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5:51" ht="21" x14ac:dyDescent="0.3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5:5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5:51" ht="21" x14ac:dyDescent="0.3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5:51" ht="21" x14ac:dyDescent="0.3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5:5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5:51" ht="21" x14ac:dyDescent="0.3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5:51" ht="21" x14ac:dyDescent="0.3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5:5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5:51" ht="21" x14ac:dyDescent="0.3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5:51" ht="21" x14ac:dyDescent="0.3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5:5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5:51" ht="21" x14ac:dyDescent="0.3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5:51" ht="21" x14ac:dyDescent="0.3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5:5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5:51" ht="21" x14ac:dyDescent="0.3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5:51" ht="21" x14ac:dyDescent="0.3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5:5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5:51" ht="21" x14ac:dyDescent="0.3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5:51" ht="21" x14ac:dyDescent="0.3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5:5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5:51" ht="21" x14ac:dyDescent="0.3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5:51" ht="21" x14ac:dyDescent="0.3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5:5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5:51" ht="21" x14ac:dyDescent="0.3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5:51" ht="21" x14ac:dyDescent="0.3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5:5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5:51" ht="21" x14ac:dyDescent="0.3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5:51" ht="21" x14ac:dyDescent="0.3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5:5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5:51" ht="21" x14ac:dyDescent="0.3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5:51" ht="21" x14ac:dyDescent="0.3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5:5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5:51" ht="21" x14ac:dyDescent="0.3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5:51" ht="21" x14ac:dyDescent="0.3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5:5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5:51" ht="21" x14ac:dyDescent="0.3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5:51" ht="21" x14ac:dyDescent="0.3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5:5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5:51" ht="21" x14ac:dyDescent="0.3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5:51" ht="21" x14ac:dyDescent="0.3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5:5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5:51" ht="21" x14ac:dyDescent="0.3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5:51" ht="21" x14ac:dyDescent="0.3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5:5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5:51" ht="21" x14ac:dyDescent="0.3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5:51" ht="21" x14ac:dyDescent="0.3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5:5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5:51" ht="21" x14ac:dyDescent="0.3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5:51" ht="21" x14ac:dyDescent="0.3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5:5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5:51" ht="21" x14ac:dyDescent="0.3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5:51" ht="21" x14ac:dyDescent="0.3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5:5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5:51" ht="21" x14ac:dyDescent="0.3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5:51" ht="21" x14ac:dyDescent="0.3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5:5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5:51" ht="21" x14ac:dyDescent="0.3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5:51" ht="21" x14ac:dyDescent="0.3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5:5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5:51" ht="21" x14ac:dyDescent="0.3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5:51" ht="21" x14ac:dyDescent="0.3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5:5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5:51" ht="21" x14ac:dyDescent="0.3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5:51" ht="21" x14ac:dyDescent="0.3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5:5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5:51" ht="21" x14ac:dyDescent="0.3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5:51" ht="21" x14ac:dyDescent="0.3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5:5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5:51" ht="21" x14ac:dyDescent="0.3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5:51" ht="21" x14ac:dyDescent="0.3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5:5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5:51" ht="21" x14ac:dyDescent="0.3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5:51" ht="21" x14ac:dyDescent="0.3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5:5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5:51" ht="21" x14ac:dyDescent="0.3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5:51" ht="21" x14ac:dyDescent="0.3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5:5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5:51" ht="21" x14ac:dyDescent="0.3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5:51" ht="21" x14ac:dyDescent="0.3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5:5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5:51" ht="21" x14ac:dyDescent="0.3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5:51" ht="21" x14ac:dyDescent="0.3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5:5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5:51" ht="21" x14ac:dyDescent="0.3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5:51" ht="21" x14ac:dyDescent="0.3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5:5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5:51" ht="21" x14ac:dyDescent="0.3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5:51" ht="21" x14ac:dyDescent="0.3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5:5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5:51" ht="21" x14ac:dyDescent="0.3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5:51" ht="21" x14ac:dyDescent="0.3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5:5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5:51" ht="21" x14ac:dyDescent="0.3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5:51" ht="21" x14ac:dyDescent="0.3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5:5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5:51" ht="21" x14ac:dyDescent="0.3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5:51" ht="21" x14ac:dyDescent="0.3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5:5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5:51" ht="21" x14ac:dyDescent="0.3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5:51" ht="21" x14ac:dyDescent="0.3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5:5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5:51" ht="21" x14ac:dyDescent="0.3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5:51" ht="21" x14ac:dyDescent="0.3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5:5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5:51" ht="21" x14ac:dyDescent="0.3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5:51" ht="21" x14ac:dyDescent="0.3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5:5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5:51" ht="21" x14ac:dyDescent="0.3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5:51" ht="21" x14ac:dyDescent="0.3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5:5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5:51" ht="21" x14ac:dyDescent="0.3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5:51" ht="21" x14ac:dyDescent="0.3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5:5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5:51" ht="21" x14ac:dyDescent="0.3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5:51" ht="21" x14ac:dyDescent="0.3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5:5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5:51" ht="21" x14ac:dyDescent="0.3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5:51" ht="21" x14ac:dyDescent="0.3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5:5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5:51" ht="21" x14ac:dyDescent="0.3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5:51" ht="21" x14ac:dyDescent="0.3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5:5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5:51" ht="21" x14ac:dyDescent="0.3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5:51" ht="21" x14ac:dyDescent="0.3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5:5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5:51" ht="21" x14ac:dyDescent="0.3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5:51" ht="21" x14ac:dyDescent="0.3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5:5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5:51" ht="21" x14ac:dyDescent="0.3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5:51" ht="21" x14ac:dyDescent="0.3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5:5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5:51" ht="21" x14ac:dyDescent="0.3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5:51" ht="21" x14ac:dyDescent="0.3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5:5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5:51" ht="21" x14ac:dyDescent="0.3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5:51" ht="21" x14ac:dyDescent="0.3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5:5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5:51" ht="21" x14ac:dyDescent="0.3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5:51" ht="21" x14ac:dyDescent="0.35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5:5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5:51" ht="21" x14ac:dyDescent="0.35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5:51" ht="21" x14ac:dyDescent="0.35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5:5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5:51" ht="21" x14ac:dyDescent="0.35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5:51" ht="21" x14ac:dyDescent="0.35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5:5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5:51" ht="21" x14ac:dyDescent="0.35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5:51" ht="21" x14ac:dyDescent="0.35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5:5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5:51" ht="21" x14ac:dyDescent="0.35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5:51" ht="21" x14ac:dyDescent="0.35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5:5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5:51" ht="21" x14ac:dyDescent="0.35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5:51" ht="21" x14ac:dyDescent="0.35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5:5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5:51" ht="21" x14ac:dyDescent="0.35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5:51" ht="21" x14ac:dyDescent="0.35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5:5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5:51" ht="21" x14ac:dyDescent="0.35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5:51" ht="21" x14ac:dyDescent="0.35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5:5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5:51" ht="21" x14ac:dyDescent="0.35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5:51" ht="21" x14ac:dyDescent="0.35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5:5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5:51" ht="21" x14ac:dyDescent="0.35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5:51" ht="21" x14ac:dyDescent="0.35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5:5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5:51" ht="21" x14ac:dyDescent="0.35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5:51" ht="21" x14ac:dyDescent="0.35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5:5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5:51" ht="21" x14ac:dyDescent="0.35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5:51" ht="21" x14ac:dyDescent="0.35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5:5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5:51" ht="21" x14ac:dyDescent="0.35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5:51" ht="21" x14ac:dyDescent="0.35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5:5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5:51" ht="21" x14ac:dyDescent="0.35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5:51" ht="21" x14ac:dyDescent="0.35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5:5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5:51" ht="21" x14ac:dyDescent="0.35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5:51" ht="21" x14ac:dyDescent="0.35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5:5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5:51" ht="21" x14ac:dyDescent="0.35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5:51" ht="21" x14ac:dyDescent="0.35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5:5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5:51" ht="21" x14ac:dyDescent="0.35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5:51" ht="21" x14ac:dyDescent="0.35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5:5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5:51" ht="21" x14ac:dyDescent="0.35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5:51" ht="21" x14ac:dyDescent="0.35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5:5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5:51" ht="21" x14ac:dyDescent="0.35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5:51" ht="21" x14ac:dyDescent="0.35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5:5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5:51" ht="21" x14ac:dyDescent="0.35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5:51" ht="21" x14ac:dyDescent="0.35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5:5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5:51" ht="21" x14ac:dyDescent="0.35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5:51" ht="21" x14ac:dyDescent="0.35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5:5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5:51" ht="21" x14ac:dyDescent="0.35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5:51" ht="21" x14ac:dyDescent="0.35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5:5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5:51" ht="21" x14ac:dyDescent="0.35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5:51" ht="21" x14ac:dyDescent="0.35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5:5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5:51" ht="21" x14ac:dyDescent="0.35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5:51" ht="21" x14ac:dyDescent="0.35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5:5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5:51" ht="21" x14ac:dyDescent="0.35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5:51" ht="21" x14ac:dyDescent="0.35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5:5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5:51" ht="21" x14ac:dyDescent="0.35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5:51" ht="21" x14ac:dyDescent="0.35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5:5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5:51" ht="21" x14ac:dyDescent="0.35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5:51" ht="21" x14ac:dyDescent="0.35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5:5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5:51" ht="21" x14ac:dyDescent="0.35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5:51" ht="21" x14ac:dyDescent="0.35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5:5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5:51" ht="21" x14ac:dyDescent="0.35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5:51" ht="21" x14ac:dyDescent="0.35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5:5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5:51" ht="21" x14ac:dyDescent="0.35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5:51" ht="21" x14ac:dyDescent="0.35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5:5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5:51" ht="21" x14ac:dyDescent="0.35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5:51" ht="21" x14ac:dyDescent="0.35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5:5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5:51" ht="21" x14ac:dyDescent="0.35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5:51" ht="21" x14ac:dyDescent="0.35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5:5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5:51" ht="21" x14ac:dyDescent="0.35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5:51" ht="21" x14ac:dyDescent="0.35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5:5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5:51" ht="21" x14ac:dyDescent="0.35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5:51" ht="21" x14ac:dyDescent="0.35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5:5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5:51" ht="21" x14ac:dyDescent="0.35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5:51" ht="21" x14ac:dyDescent="0.35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5:5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5:51" ht="21" x14ac:dyDescent="0.35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5:51" ht="21" x14ac:dyDescent="0.35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5:5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5:51" ht="21" x14ac:dyDescent="0.35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5:51" ht="21" x14ac:dyDescent="0.35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5:5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5:51" ht="21" x14ac:dyDescent="0.35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5:51" ht="21" x14ac:dyDescent="0.35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5:5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5:51" ht="21" x14ac:dyDescent="0.35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5:51" ht="21" x14ac:dyDescent="0.35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5:5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5:51" ht="21" x14ac:dyDescent="0.35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5:51" ht="21" x14ac:dyDescent="0.35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5:5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5:51" ht="21" x14ac:dyDescent="0.35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5:51" ht="21" x14ac:dyDescent="0.35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5:5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5:51" ht="21" x14ac:dyDescent="0.35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5:51" ht="21" x14ac:dyDescent="0.35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5:5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5:51" ht="21" x14ac:dyDescent="0.35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5:51" ht="21" x14ac:dyDescent="0.35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5:5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5:51" ht="21" x14ac:dyDescent="0.35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5:51" ht="21" x14ac:dyDescent="0.35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5:5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5:51" ht="21" x14ac:dyDescent="0.35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5:51" ht="21" x14ac:dyDescent="0.35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5:5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5:51" ht="21" x14ac:dyDescent="0.35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5:51" ht="21" x14ac:dyDescent="0.35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5:5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5:51" ht="21" x14ac:dyDescent="0.35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5:51" ht="21" x14ac:dyDescent="0.35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5:5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5:51" ht="21" x14ac:dyDescent="0.35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5:51" ht="21" x14ac:dyDescent="0.35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5:5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5:51" ht="21" x14ac:dyDescent="0.35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5:51" ht="21" x14ac:dyDescent="0.35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5:5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5:51" ht="21" x14ac:dyDescent="0.35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5:51" ht="21" x14ac:dyDescent="0.35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5:5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5:51" ht="21" x14ac:dyDescent="0.35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5:51" ht="21" x14ac:dyDescent="0.35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5:5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5:51" ht="21" x14ac:dyDescent="0.35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5:51" ht="21" x14ac:dyDescent="0.35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5:5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5:51" ht="21" x14ac:dyDescent="0.35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5:51" ht="21" x14ac:dyDescent="0.35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5:5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5:51" ht="21" x14ac:dyDescent="0.35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5:51" ht="21" x14ac:dyDescent="0.35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5:5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5:51" ht="21" x14ac:dyDescent="0.35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5:51" ht="21" x14ac:dyDescent="0.35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5:5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5:51" ht="21" x14ac:dyDescent="0.35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5:51" ht="21" x14ac:dyDescent="0.35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5:5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5:51" ht="21" x14ac:dyDescent="0.35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5:51" ht="21" x14ac:dyDescent="0.35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5:5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5:51" ht="21" x14ac:dyDescent="0.35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5:51" ht="21" x14ac:dyDescent="0.35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5:5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5:51" ht="21" x14ac:dyDescent="0.35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5:51" ht="21" x14ac:dyDescent="0.35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5:5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5:51" ht="21" x14ac:dyDescent="0.35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5:51" ht="21" x14ac:dyDescent="0.35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5:5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5:51" ht="21" x14ac:dyDescent="0.35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5:51" ht="21" x14ac:dyDescent="0.35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5:5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5:51" ht="21" x14ac:dyDescent="0.35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5:51" ht="21" x14ac:dyDescent="0.35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5:5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5:51" ht="21" x14ac:dyDescent="0.35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5:51" ht="21" x14ac:dyDescent="0.35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5:5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5:51" ht="21" x14ac:dyDescent="0.35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5:51" ht="21" x14ac:dyDescent="0.35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5:5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5:51" ht="21" x14ac:dyDescent="0.35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5:51" ht="21" x14ac:dyDescent="0.35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5:5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5:51" ht="21" x14ac:dyDescent="0.35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5:51" ht="21" x14ac:dyDescent="0.35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5:5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5:51" ht="21" x14ac:dyDescent="0.35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5:51" ht="21" x14ac:dyDescent="0.35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5:5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5:51" ht="21" x14ac:dyDescent="0.35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5:51" ht="21" x14ac:dyDescent="0.35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5:5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5:51" ht="21" x14ac:dyDescent="0.35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5:51" ht="21" x14ac:dyDescent="0.35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5:5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5:51" ht="21" x14ac:dyDescent="0.35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5:51" ht="21" x14ac:dyDescent="0.35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5:5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5:51" ht="21" x14ac:dyDescent="0.35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5:51" ht="21" x14ac:dyDescent="0.35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5:5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5:51" ht="21" x14ac:dyDescent="0.35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5:51" ht="21" x14ac:dyDescent="0.35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5:5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5:51" ht="21" x14ac:dyDescent="0.35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5:51" ht="21" x14ac:dyDescent="0.35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5:5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5:51" ht="21" x14ac:dyDescent="0.35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5:51" ht="21" x14ac:dyDescent="0.35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5:5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5:51" ht="21" x14ac:dyDescent="0.35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5:51" ht="21" x14ac:dyDescent="0.35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5:5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5:51" ht="21" x14ac:dyDescent="0.35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5:51" ht="21" x14ac:dyDescent="0.35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5:5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5:51" ht="21" x14ac:dyDescent="0.35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5:51" ht="21" x14ac:dyDescent="0.35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5:5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5:51" ht="21" x14ac:dyDescent="0.35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5:51" ht="21" x14ac:dyDescent="0.35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5:5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5:51" ht="21" x14ac:dyDescent="0.35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5:51" ht="21" x14ac:dyDescent="0.35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5:5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5:51" ht="21" x14ac:dyDescent="0.35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5:51" ht="21" x14ac:dyDescent="0.35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5:5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5:51" ht="21" x14ac:dyDescent="0.35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5:51" ht="21" x14ac:dyDescent="0.35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5:5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5:51" ht="21" x14ac:dyDescent="0.35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5:51" ht="21" x14ac:dyDescent="0.35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5:5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5:51" ht="21" x14ac:dyDescent="0.35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5:51" ht="21" x14ac:dyDescent="0.35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5:5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5:51" ht="21" x14ac:dyDescent="0.35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5:51" ht="21" x14ac:dyDescent="0.35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5:5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5:51" ht="21" x14ac:dyDescent="0.35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5:51" ht="21" x14ac:dyDescent="0.35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5:5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5:51" ht="21" x14ac:dyDescent="0.35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5:51" ht="21" x14ac:dyDescent="0.35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5:5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5:51" ht="21" x14ac:dyDescent="0.35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5:51" ht="21" x14ac:dyDescent="0.35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5:5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5:51" ht="21" x14ac:dyDescent="0.35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5:51" ht="21" x14ac:dyDescent="0.35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5:5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5:51" ht="21" x14ac:dyDescent="0.35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5:51" ht="21" x14ac:dyDescent="0.35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5:5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5:51" ht="21" x14ac:dyDescent="0.35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5:51" ht="21" x14ac:dyDescent="0.35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5:5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5:51" ht="21" x14ac:dyDescent="0.35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5:51" ht="21" x14ac:dyDescent="0.35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5:5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5:51" ht="21" x14ac:dyDescent="0.35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5:51" ht="21" x14ac:dyDescent="0.35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5:5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5:51" ht="21" x14ac:dyDescent="0.35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5:51" ht="21" x14ac:dyDescent="0.35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5:5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5:51" ht="21" x14ac:dyDescent="0.35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5:51" ht="21" x14ac:dyDescent="0.35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5:5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5:51" ht="21" x14ac:dyDescent="0.35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5:51" ht="21" x14ac:dyDescent="0.35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5:5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5:51" ht="21" x14ac:dyDescent="0.35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5:51" ht="21" x14ac:dyDescent="0.35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5:5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5:51" ht="21" x14ac:dyDescent="0.35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5:51" ht="21" x14ac:dyDescent="0.3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5:5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5:51" ht="21" x14ac:dyDescent="0.3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5:51" ht="21" x14ac:dyDescent="0.3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5:5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5:51" ht="21" x14ac:dyDescent="0.3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5:51" ht="21" x14ac:dyDescent="0.3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5:5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5:51" ht="21" x14ac:dyDescent="0.3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5:51" ht="21" x14ac:dyDescent="0.3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5:5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5:51" ht="21" x14ac:dyDescent="0.3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5:51" ht="21" x14ac:dyDescent="0.3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5:5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5:51" ht="21" x14ac:dyDescent="0.3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5:51" ht="21" x14ac:dyDescent="0.3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5:5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5:51" ht="21" x14ac:dyDescent="0.3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5:51" ht="21" x14ac:dyDescent="0.3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5:5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5:51" ht="21" x14ac:dyDescent="0.3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5:51" ht="21" x14ac:dyDescent="0.3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5:5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5:51" ht="21" x14ac:dyDescent="0.3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5:51" ht="21" x14ac:dyDescent="0.3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5:5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5:51" ht="21" x14ac:dyDescent="0.3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5:51" ht="21" x14ac:dyDescent="0.3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5:5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5:51" ht="21" x14ac:dyDescent="0.3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5:51" ht="21" x14ac:dyDescent="0.3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5:5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5:51" ht="21" x14ac:dyDescent="0.3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5:51" ht="21" x14ac:dyDescent="0.3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5:5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5:51" ht="21" x14ac:dyDescent="0.3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5:51" ht="21" x14ac:dyDescent="0.3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5:5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5:51" ht="21" x14ac:dyDescent="0.3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5:51" ht="21" x14ac:dyDescent="0.3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5:5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5:51" ht="21" x14ac:dyDescent="0.3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5:51" ht="21" x14ac:dyDescent="0.3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5:5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5:51" ht="21" x14ac:dyDescent="0.3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5:51" ht="21" x14ac:dyDescent="0.3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5:5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5:51" ht="21" x14ac:dyDescent="0.3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5:51" ht="21" x14ac:dyDescent="0.3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5:5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5:51" ht="21" x14ac:dyDescent="0.3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5:51" ht="21" x14ac:dyDescent="0.3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5:5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5:51" ht="21" x14ac:dyDescent="0.3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5:51" ht="21" x14ac:dyDescent="0.3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</sheetData>
  <sheetProtection formatCells="0" insertColumns="0" insertRows="0" insertHyperlinks="0" deleteColumns="0" deleteRows="0" selectLockedCells="1" sort="0" autoFilter="0" pivotTables="0"/>
  <mergeCells count="22">
    <mergeCell ref="A1:C1"/>
    <mergeCell ref="A2:C2"/>
    <mergeCell ref="A3:B3"/>
    <mergeCell ref="A15:B15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16:B16"/>
    <mergeCell ref="A17:B17"/>
    <mergeCell ref="A18:B18"/>
    <mergeCell ref="A19:B19"/>
    <mergeCell ref="A20:B20"/>
  </mergeCells>
  <dataValidations count="1">
    <dataValidation type="decimal" allowBlank="1" showInputMessage="1" showErrorMessage="1" sqref="D8:D22">
      <formula1>-10000000000</formula1>
      <formula2>10000000000</formula2>
    </dataValidation>
  </dataValidations>
  <pageMargins left="0.7" right="0.7" top="0.75" bottom="0.75" header="0.3" footer="0.3"/>
  <pageSetup orientation="landscape" r:id="rId1"/>
  <headerFooter differentOddEven="1">
    <oddFooter>&amp;CSaudi Aramco: Confidential</oddFooter>
    <evenFooter>&amp;CSaudi Aramco: Confidential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>
      <selection activeCell="E8" sqref="E8"/>
    </sheetView>
  </sheetViews>
  <sheetFormatPr defaultRowHeight="15" x14ac:dyDescent="0.25"/>
  <cols>
    <col min="1" max="1" width="2.5703125" style="41" customWidth="1"/>
    <col min="2" max="2" width="9.140625" style="41"/>
    <col min="3" max="3" width="34" style="41" customWidth="1"/>
    <col min="4" max="4" width="81.85546875" style="41" customWidth="1"/>
    <col min="5" max="10" width="11.140625" style="41" customWidth="1"/>
    <col min="11" max="11" width="9.140625" style="41" customWidth="1"/>
    <col min="12" max="12" width="11.140625" style="41" customWidth="1"/>
    <col min="13" max="13" width="10.5703125" style="41" customWidth="1"/>
    <col min="14" max="16384" width="9.140625" style="41"/>
  </cols>
  <sheetData>
    <row r="1" spans="1:14" ht="23.25" x14ac:dyDescent="0.35">
      <c r="A1" s="339" t="str">
        <f>+'Page 1. Company Information'!$B$2</f>
        <v>Name of Company</v>
      </c>
      <c r="B1" s="339"/>
    </row>
    <row r="2" spans="1:14" ht="26.25" x14ac:dyDescent="0.4">
      <c r="A2" s="340" t="s">
        <v>89</v>
      </c>
      <c r="B2" s="340"/>
    </row>
    <row r="5" spans="1:14" ht="18.75" x14ac:dyDescent="0.3">
      <c r="A5" s="337" t="s">
        <v>324</v>
      </c>
      <c r="B5" s="341"/>
    </row>
    <row r="6" spans="1:14" ht="15" customHeight="1" x14ac:dyDescent="0.25">
      <c r="E6" s="512">
        <f>I6-365</f>
        <v>42735</v>
      </c>
      <c r="F6" s="513"/>
      <c r="G6" s="513"/>
      <c r="H6" s="514"/>
      <c r="I6" s="512">
        <f>'Page 1. Company Information'!B3</f>
        <v>43100</v>
      </c>
      <c r="J6" s="513"/>
      <c r="K6" s="513"/>
      <c r="L6" s="514"/>
      <c r="M6" s="510" t="str">
        <f>YEAR(E6)&amp;" vs. "&amp;YEAR(I6)</f>
        <v>2016 vs. 2017</v>
      </c>
      <c r="N6" s="511"/>
    </row>
    <row r="7" spans="1:14" ht="45" x14ac:dyDescent="0.25">
      <c r="A7" s="61"/>
      <c r="B7" s="520" t="s">
        <v>325</v>
      </c>
      <c r="C7" s="521"/>
      <c r="D7" s="344" t="s">
        <v>338</v>
      </c>
      <c r="E7" s="60" t="s">
        <v>83</v>
      </c>
      <c r="F7" s="60" t="s">
        <v>339</v>
      </c>
      <c r="G7" s="61" t="s">
        <v>48</v>
      </c>
      <c r="H7" s="60" t="s">
        <v>15</v>
      </c>
      <c r="I7" s="60" t="s">
        <v>83</v>
      </c>
      <c r="J7" s="60" t="s">
        <v>339</v>
      </c>
      <c r="K7" s="61" t="s">
        <v>48</v>
      </c>
      <c r="L7" s="60" t="s">
        <v>15</v>
      </c>
      <c r="M7" s="60" t="s">
        <v>340</v>
      </c>
      <c r="N7" s="60" t="s">
        <v>354</v>
      </c>
    </row>
    <row r="8" spans="1:14" x14ac:dyDescent="0.25">
      <c r="A8" s="342">
        <v>1</v>
      </c>
      <c r="B8" s="517" t="s">
        <v>326</v>
      </c>
      <c r="C8" s="518"/>
      <c r="D8" s="342" t="s">
        <v>341</v>
      </c>
      <c r="E8" s="345">
        <v>0</v>
      </c>
      <c r="F8" s="345">
        <v>0</v>
      </c>
      <c r="G8" s="346">
        <f t="shared" ref="G8:G17" si="0">SUM(E8:F8)</f>
        <v>0</v>
      </c>
      <c r="H8" s="347" t="str">
        <f t="shared" ref="H8:H18" si="1">IFERROR((E8/G8),"NA")</f>
        <v>NA</v>
      </c>
      <c r="I8" s="345">
        <v>0</v>
      </c>
      <c r="J8" s="345">
        <v>0</v>
      </c>
      <c r="K8" s="346">
        <f t="shared" ref="K8:K17" si="2">SUM(I8:J8)</f>
        <v>0</v>
      </c>
      <c r="L8" s="347" t="str">
        <f t="shared" ref="L8:L18" si="3">IFERROR((I8/K8),"NA")</f>
        <v>NA</v>
      </c>
      <c r="M8" s="348">
        <f t="shared" ref="M8:M18" si="4">I8-E8</f>
        <v>0</v>
      </c>
      <c r="N8" s="347" t="str">
        <f t="shared" ref="N8:N18" si="5">IFERROR((I8/E8-1),"NA")</f>
        <v>NA</v>
      </c>
    </row>
    <row r="9" spans="1:14" x14ac:dyDescent="0.25">
      <c r="A9" s="343">
        <v>2</v>
      </c>
      <c r="B9" s="515" t="s">
        <v>327</v>
      </c>
      <c r="C9" s="516"/>
      <c r="D9" s="343" t="s">
        <v>342</v>
      </c>
      <c r="E9" s="349">
        <v>0</v>
      </c>
      <c r="F9" s="349">
        <v>0</v>
      </c>
      <c r="G9" s="350">
        <f t="shared" si="0"/>
        <v>0</v>
      </c>
      <c r="H9" s="351" t="str">
        <f t="shared" si="1"/>
        <v>NA</v>
      </c>
      <c r="I9" s="349">
        <v>0</v>
      </c>
      <c r="J9" s="349">
        <v>0</v>
      </c>
      <c r="K9" s="350">
        <f t="shared" si="2"/>
        <v>0</v>
      </c>
      <c r="L9" s="351" t="str">
        <f t="shared" si="3"/>
        <v>NA</v>
      </c>
      <c r="M9" s="352">
        <f t="shared" si="4"/>
        <v>0</v>
      </c>
      <c r="N9" s="351" t="str">
        <f t="shared" si="5"/>
        <v>NA</v>
      </c>
    </row>
    <row r="10" spans="1:14" x14ac:dyDescent="0.25">
      <c r="A10" s="342">
        <v>3</v>
      </c>
      <c r="B10" s="517" t="s">
        <v>328</v>
      </c>
      <c r="C10" s="518"/>
      <c r="D10" s="342" t="s">
        <v>343</v>
      </c>
      <c r="E10" s="345">
        <v>0</v>
      </c>
      <c r="F10" s="345">
        <v>0</v>
      </c>
      <c r="G10" s="346">
        <f t="shared" si="0"/>
        <v>0</v>
      </c>
      <c r="H10" s="347" t="str">
        <f t="shared" si="1"/>
        <v>NA</v>
      </c>
      <c r="I10" s="345">
        <v>0</v>
      </c>
      <c r="J10" s="345">
        <v>0</v>
      </c>
      <c r="K10" s="346">
        <f t="shared" si="2"/>
        <v>0</v>
      </c>
      <c r="L10" s="347" t="str">
        <f t="shared" si="3"/>
        <v>NA</v>
      </c>
      <c r="M10" s="348">
        <f t="shared" si="4"/>
        <v>0</v>
      </c>
      <c r="N10" s="347" t="str">
        <f t="shared" si="5"/>
        <v>NA</v>
      </c>
    </row>
    <row r="11" spans="1:14" x14ac:dyDescent="0.25">
      <c r="A11" s="343">
        <v>4</v>
      </c>
      <c r="B11" s="515" t="s">
        <v>329</v>
      </c>
      <c r="C11" s="516"/>
      <c r="D11" s="343" t="s">
        <v>344</v>
      </c>
      <c r="E11" s="349">
        <v>0</v>
      </c>
      <c r="F11" s="349">
        <v>0</v>
      </c>
      <c r="G11" s="350">
        <f t="shared" si="0"/>
        <v>0</v>
      </c>
      <c r="H11" s="351" t="str">
        <f t="shared" si="1"/>
        <v>NA</v>
      </c>
      <c r="I11" s="349">
        <v>0</v>
      </c>
      <c r="J11" s="349">
        <v>0</v>
      </c>
      <c r="K11" s="350">
        <f t="shared" si="2"/>
        <v>0</v>
      </c>
      <c r="L11" s="351" t="str">
        <f t="shared" si="3"/>
        <v>NA</v>
      </c>
      <c r="M11" s="352">
        <f t="shared" si="4"/>
        <v>0</v>
      </c>
      <c r="N11" s="351" t="str">
        <f t="shared" si="5"/>
        <v>NA</v>
      </c>
    </row>
    <row r="12" spans="1:14" x14ac:dyDescent="0.25">
      <c r="A12" s="342">
        <v>5</v>
      </c>
      <c r="B12" s="517" t="s">
        <v>330</v>
      </c>
      <c r="C12" s="518"/>
      <c r="D12" s="342" t="s">
        <v>345</v>
      </c>
      <c r="E12" s="345">
        <v>0</v>
      </c>
      <c r="F12" s="345">
        <v>0</v>
      </c>
      <c r="G12" s="346">
        <f t="shared" si="0"/>
        <v>0</v>
      </c>
      <c r="H12" s="347" t="str">
        <f t="shared" si="1"/>
        <v>NA</v>
      </c>
      <c r="I12" s="345">
        <v>0</v>
      </c>
      <c r="J12" s="345">
        <v>0</v>
      </c>
      <c r="K12" s="346">
        <f t="shared" si="2"/>
        <v>0</v>
      </c>
      <c r="L12" s="347" t="str">
        <f t="shared" si="3"/>
        <v>NA</v>
      </c>
      <c r="M12" s="348">
        <f t="shared" si="4"/>
        <v>0</v>
      </c>
      <c r="N12" s="347" t="str">
        <f t="shared" si="5"/>
        <v>NA</v>
      </c>
    </row>
    <row r="13" spans="1:14" x14ac:dyDescent="0.25">
      <c r="A13" s="343">
        <v>6</v>
      </c>
      <c r="B13" s="515" t="s">
        <v>331</v>
      </c>
      <c r="C13" s="516"/>
      <c r="D13" s="343" t="s">
        <v>346</v>
      </c>
      <c r="E13" s="349">
        <v>0</v>
      </c>
      <c r="F13" s="349">
        <v>0</v>
      </c>
      <c r="G13" s="350">
        <f t="shared" si="0"/>
        <v>0</v>
      </c>
      <c r="H13" s="351" t="str">
        <f t="shared" si="1"/>
        <v>NA</v>
      </c>
      <c r="I13" s="349">
        <v>0</v>
      </c>
      <c r="J13" s="349">
        <v>0</v>
      </c>
      <c r="K13" s="350">
        <f t="shared" si="2"/>
        <v>0</v>
      </c>
      <c r="L13" s="351" t="str">
        <f t="shared" si="3"/>
        <v>NA</v>
      </c>
      <c r="M13" s="352">
        <f t="shared" si="4"/>
        <v>0</v>
      </c>
      <c r="N13" s="351" t="str">
        <f t="shared" si="5"/>
        <v>NA</v>
      </c>
    </row>
    <row r="14" spans="1:14" x14ac:dyDescent="0.25">
      <c r="A14" s="342">
        <v>7</v>
      </c>
      <c r="B14" s="517" t="s">
        <v>332</v>
      </c>
      <c r="C14" s="518"/>
      <c r="D14" s="342" t="s">
        <v>347</v>
      </c>
      <c r="E14" s="345">
        <v>0</v>
      </c>
      <c r="F14" s="345">
        <v>0</v>
      </c>
      <c r="G14" s="346">
        <f t="shared" si="0"/>
        <v>0</v>
      </c>
      <c r="H14" s="347" t="str">
        <f t="shared" si="1"/>
        <v>NA</v>
      </c>
      <c r="I14" s="345">
        <v>0</v>
      </c>
      <c r="J14" s="345">
        <v>0</v>
      </c>
      <c r="K14" s="346">
        <f t="shared" si="2"/>
        <v>0</v>
      </c>
      <c r="L14" s="347" t="str">
        <f t="shared" si="3"/>
        <v>NA</v>
      </c>
      <c r="M14" s="348">
        <f t="shared" si="4"/>
        <v>0</v>
      </c>
      <c r="N14" s="347" t="str">
        <f t="shared" si="5"/>
        <v>NA</v>
      </c>
    </row>
    <row r="15" spans="1:14" x14ac:dyDescent="0.25">
      <c r="A15" s="343">
        <v>8</v>
      </c>
      <c r="B15" s="515" t="s">
        <v>333</v>
      </c>
      <c r="C15" s="516"/>
      <c r="D15" s="343" t="s">
        <v>348</v>
      </c>
      <c r="E15" s="349">
        <v>0</v>
      </c>
      <c r="F15" s="349">
        <v>0</v>
      </c>
      <c r="G15" s="350">
        <f t="shared" si="0"/>
        <v>0</v>
      </c>
      <c r="H15" s="351" t="str">
        <f t="shared" si="1"/>
        <v>NA</v>
      </c>
      <c r="I15" s="349">
        <v>0</v>
      </c>
      <c r="J15" s="349">
        <v>0</v>
      </c>
      <c r="K15" s="350">
        <f t="shared" si="2"/>
        <v>0</v>
      </c>
      <c r="L15" s="351" t="str">
        <f t="shared" si="3"/>
        <v>NA</v>
      </c>
      <c r="M15" s="352">
        <f t="shared" si="4"/>
        <v>0</v>
      </c>
      <c r="N15" s="351" t="str">
        <f t="shared" si="5"/>
        <v>NA</v>
      </c>
    </row>
    <row r="16" spans="1:14" x14ac:dyDescent="0.25">
      <c r="A16" s="342">
        <v>9</v>
      </c>
      <c r="B16" s="517" t="s">
        <v>334</v>
      </c>
      <c r="C16" s="518"/>
      <c r="D16" s="342" t="s">
        <v>349</v>
      </c>
      <c r="E16" s="345">
        <v>0</v>
      </c>
      <c r="F16" s="345">
        <v>0</v>
      </c>
      <c r="G16" s="346">
        <f t="shared" si="0"/>
        <v>0</v>
      </c>
      <c r="H16" s="347" t="str">
        <f t="shared" si="1"/>
        <v>NA</v>
      </c>
      <c r="I16" s="345">
        <v>0</v>
      </c>
      <c r="J16" s="345">
        <v>0</v>
      </c>
      <c r="K16" s="346">
        <f t="shared" si="2"/>
        <v>0</v>
      </c>
      <c r="L16" s="347" t="str">
        <f t="shared" si="3"/>
        <v>NA</v>
      </c>
      <c r="M16" s="348">
        <f t="shared" si="4"/>
        <v>0</v>
      </c>
      <c r="N16" s="347" t="str">
        <f t="shared" si="5"/>
        <v>NA</v>
      </c>
    </row>
    <row r="17" spans="1:14" x14ac:dyDescent="0.25">
      <c r="A17" s="343">
        <v>0</v>
      </c>
      <c r="B17" s="515" t="s">
        <v>335</v>
      </c>
      <c r="C17" s="516"/>
      <c r="D17" s="343" t="s">
        <v>350</v>
      </c>
      <c r="E17" s="349">
        <v>0</v>
      </c>
      <c r="F17" s="349">
        <v>0</v>
      </c>
      <c r="G17" s="350">
        <f t="shared" si="0"/>
        <v>0</v>
      </c>
      <c r="H17" s="351" t="str">
        <f t="shared" si="1"/>
        <v>NA</v>
      </c>
      <c r="I17" s="349">
        <v>0</v>
      </c>
      <c r="J17" s="349">
        <v>0</v>
      </c>
      <c r="K17" s="350">
        <f t="shared" si="2"/>
        <v>0</v>
      </c>
      <c r="L17" s="351" t="str">
        <f t="shared" si="3"/>
        <v>NA</v>
      </c>
      <c r="M17" s="352">
        <f t="shared" si="4"/>
        <v>0</v>
      </c>
      <c r="N17" s="351" t="str">
        <f t="shared" si="5"/>
        <v>NA</v>
      </c>
    </row>
    <row r="18" spans="1:14" ht="21" x14ac:dyDescent="0.25">
      <c r="A18" s="519" t="s">
        <v>48</v>
      </c>
      <c r="B18" s="519"/>
      <c r="C18" s="519"/>
      <c r="D18" s="353"/>
      <c r="E18" s="354">
        <f>SUM(E8:E17)</f>
        <v>0</v>
      </c>
      <c r="F18" s="354">
        <f>SUM(F8:F17)</f>
        <v>0</v>
      </c>
      <c r="G18" s="354">
        <f>SUM(G8:G17)</f>
        <v>0</v>
      </c>
      <c r="H18" s="359" t="str">
        <f t="shared" si="1"/>
        <v>NA</v>
      </c>
      <c r="I18" s="354">
        <f>SUM(I8:I17)</f>
        <v>0</v>
      </c>
      <c r="J18" s="354">
        <f>SUM(J8:J17)</f>
        <v>0</v>
      </c>
      <c r="K18" s="358">
        <f>SUM(K8:K17)</f>
        <v>0</v>
      </c>
      <c r="L18" s="355" t="str">
        <f t="shared" si="3"/>
        <v>NA</v>
      </c>
      <c r="M18" s="356">
        <f t="shared" si="4"/>
        <v>0</v>
      </c>
      <c r="N18" s="357" t="str">
        <f t="shared" si="5"/>
        <v>NA</v>
      </c>
    </row>
    <row r="20" spans="1:14" ht="17.25" x14ac:dyDescent="0.25">
      <c r="A20" s="41" t="s">
        <v>336</v>
      </c>
    </row>
    <row r="21" spans="1:14" ht="17.25" x14ac:dyDescent="0.25">
      <c r="A21" s="509" t="s">
        <v>337</v>
      </c>
      <c r="B21" s="509"/>
      <c r="C21" s="509"/>
      <c r="D21" s="509"/>
    </row>
  </sheetData>
  <sheetProtection algorithmName="SHA-512" hashValue="GuXbOv7YBDz6xheEgy5GOdYimlZx3lPZojcvUsOHouoEzbQbA3NbR+vQ1k8zzKfkf/SwxWULskuWKpaXkxUyVg==" saltValue="bl/dEONQLhlRnlqLZC6bvg==" spinCount="100000" sheet="1" objects="1" scenarios="1" selectLockedCells="1"/>
  <mergeCells count="16">
    <mergeCell ref="A21:D21"/>
    <mergeCell ref="M6:N6"/>
    <mergeCell ref="I6:L6"/>
    <mergeCell ref="B13:C13"/>
    <mergeCell ref="B14:C14"/>
    <mergeCell ref="E6:H6"/>
    <mergeCell ref="B15:C15"/>
    <mergeCell ref="B16:C16"/>
    <mergeCell ref="B17:C17"/>
    <mergeCell ref="A18:C18"/>
    <mergeCell ref="B7:C7"/>
    <mergeCell ref="B8:C8"/>
    <mergeCell ref="B9:C9"/>
    <mergeCell ref="B10:C10"/>
    <mergeCell ref="B11:C11"/>
    <mergeCell ref="B12:C12"/>
  </mergeCells>
  <conditionalFormatting sqref="N8:N18">
    <cfRule type="cellIs" dxfId="21" priority="1" operator="lessThan">
      <formula>0</formula>
    </cfRule>
  </conditionalFormatting>
  <pageMargins left="0.7" right="0.7" top="0.75" bottom="0.75" header="0.3" footer="0.3"/>
  <pageSetup orientation="portrait" r:id="rId1"/>
  <headerFooter differentOddEven="1">
    <oddFooter>&amp;CSaudi Aramco: Confidential</oddFooter>
    <evenFooter>&amp;CSaudi Aramco: Confidential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zoomScaleNormal="100" workbookViewId="0">
      <selection activeCell="A9" sqref="A9"/>
    </sheetView>
  </sheetViews>
  <sheetFormatPr defaultRowHeight="15" x14ac:dyDescent="0.25"/>
  <cols>
    <col min="1" max="1" width="16.140625" style="41" customWidth="1"/>
    <col min="2" max="2" width="9.140625" style="41"/>
    <col min="3" max="3" width="37.140625" style="41" customWidth="1"/>
    <col min="4" max="6" width="11.140625" style="41" customWidth="1"/>
    <col min="7" max="7" width="11.7109375" style="41" hidden="1" customWidth="1"/>
    <col min="8" max="10" width="11.140625" style="41" customWidth="1"/>
    <col min="11" max="11" width="12" style="41" hidden="1" customWidth="1"/>
    <col min="12" max="12" width="10.42578125" style="41" hidden="1" customWidth="1"/>
    <col min="13" max="13" width="7.7109375" style="41" hidden="1" customWidth="1"/>
    <col min="14" max="16384" width="9.140625" style="41"/>
  </cols>
  <sheetData>
    <row r="1" spans="1:13" ht="23.25" x14ac:dyDescent="0.35">
      <c r="A1" s="339" t="str">
        <f>+'Page 1. Company Information'!$B$2</f>
        <v>Name of Company</v>
      </c>
      <c r="B1" s="339"/>
    </row>
    <row r="2" spans="1:13" ht="26.25" x14ac:dyDescent="0.4">
      <c r="A2" s="340" t="s">
        <v>89</v>
      </c>
      <c r="B2" s="340"/>
    </row>
    <row r="4" spans="1:13" ht="5.25" customHeight="1" x14ac:dyDescent="0.25"/>
    <row r="5" spans="1:13" ht="18.75" x14ac:dyDescent="0.3">
      <c r="A5" s="367" t="s">
        <v>324</v>
      </c>
      <c r="B5" s="341"/>
    </row>
    <row r="6" spans="1:13" ht="12" customHeight="1" x14ac:dyDescent="0.3">
      <c r="A6" s="367"/>
      <c r="B6" s="341"/>
    </row>
    <row r="7" spans="1:13" ht="15" customHeight="1" x14ac:dyDescent="0.25">
      <c r="A7" s="522" t="s">
        <v>361</v>
      </c>
      <c r="B7" s="522"/>
      <c r="C7" s="523"/>
      <c r="D7" s="513">
        <f>H7-365</f>
        <v>42735</v>
      </c>
      <c r="E7" s="513"/>
      <c r="F7" s="513"/>
      <c r="G7" s="514"/>
      <c r="H7" s="512">
        <f>'Page 1. Company Information'!B3</f>
        <v>43100</v>
      </c>
      <c r="I7" s="513"/>
      <c r="J7" s="513"/>
      <c r="K7" s="514"/>
      <c r="L7" s="510" t="str">
        <f>YEAR(D7)&amp;" vs. "&amp;YEAR(H7)</f>
        <v>2016 vs. 2017</v>
      </c>
      <c r="M7" s="511"/>
    </row>
    <row r="8" spans="1:13" ht="45" customHeight="1" x14ac:dyDescent="0.25">
      <c r="A8" s="61" t="s">
        <v>359</v>
      </c>
      <c r="B8" s="520" t="s">
        <v>360</v>
      </c>
      <c r="C8" s="521"/>
      <c r="D8" s="60" t="s">
        <v>83</v>
      </c>
      <c r="E8" s="60" t="s">
        <v>339</v>
      </c>
      <c r="F8" s="61" t="s">
        <v>48</v>
      </c>
      <c r="G8" s="60" t="s">
        <v>15</v>
      </c>
      <c r="H8" s="60" t="s">
        <v>83</v>
      </c>
      <c r="I8" s="60" t="s">
        <v>339</v>
      </c>
      <c r="J8" s="61" t="s">
        <v>48</v>
      </c>
      <c r="K8" s="60" t="s">
        <v>15</v>
      </c>
      <c r="L8" s="60" t="s">
        <v>340</v>
      </c>
      <c r="M8" s="60" t="s">
        <v>354</v>
      </c>
    </row>
    <row r="9" spans="1:13" x14ac:dyDescent="0.25">
      <c r="A9" s="366"/>
      <c r="B9" s="505"/>
      <c r="C9" s="506"/>
      <c r="D9" s="345">
        <v>0</v>
      </c>
      <c r="E9" s="345">
        <v>0</v>
      </c>
      <c r="F9" s="346">
        <f t="shared" ref="F9:F40" si="0">SUM(D9:E9)</f>
        <v>0</v>
      </c>
      <c r="G9" s="347" t="str">
        <f t="shared" ref="G9:G40" si="1">IFERROR((D9/F9),"NA")</f>
        <v>NA</v>
      </c>
      <c r="H9" s="345">
        <v>0</v>
      </c>
      <c r="I9" s="345">
        <v>0</v>
      </c>
      <c r="J9" s="346">
        <f>SUM(H9:I9)</f>
        <v>0</v>
      </c>
      <c r="K9" s="347" t="str">
        <f>IFERROR((H9/J9),"NA")</f>
        <v>NA</v>
      </c>
      <c r="L9" s="348">
        <f t="shared" ref="L9:L40" si="2">H9-D9</f>
        <v>0</v>
      </c>
      <c r="M9" s="347" t="str">
        <f t="shared" ref="M9:M40" si="3">IFERROR((H9/D9-1),"NA")</f>
        <v>NA</v>
      </c>
    </row>
    <row r="10" spans="1:13" x14ac:dyDescent="0.25">
      <c r="A10" s="365"/>
      <c r="B10" s="503"/>
      <c r="C10" s="504"/>
      <c r="D10" s="349">
        <v>0</v>
      </c>
      <c r="E10" s="349">
        <v>0</v>
      </c>
      <c r="F10" s="350">
        <f t="shared" si="0"/>
        <v>0</v>
      </c>
      <c r="G10" s="351" t="str">
        <f t="shared" si="1"/>
        <v>NA</v>
      </c>
      <c r="H10" s="349">
        <v>0</v>
      </c>
      <c r="I10" s="349">
        <v>0</v>
      </c>
      <c r="J10" s="350">
        <f t="shared" ref="J10:J16" si="4">SUM(H10:I10)</f>
        <v>0</v>
      </c>
      <c r="K10" s="351" t="str">
        <f t="shared" ref="K10:K16" si="5">IFERROR((H10/J10),"NA")</f>
        <v>NA</v>
      </c>
      <c r="L10" s="352">
        <f t="shared" si="2"/>
        <v>0</v>
      </c>
      <c r="M10" s="351" t="str">
        <f t="shared" si="3"/>
        <v>NA</v>
      </c>
    </row>
    <row r="11" spans="1:13" x14ac:dyDescent="0.25">
      <c r="A11" s="366"/>
      <c r="B11" s="505"/>
      <c r="C11" s="506"/>
      <c r="D11" s="345">
        <v>0</v>
      </c>
      <c r="E11" s="345">
        <v>0</v>
      </c>
      <c r="F11" s="346">
        <f t="shared" si="0"/>
        <v>0</v>
      </c>
      <c r="G11" s="347" t="str">
        <f t="shared" si="1"/>
        <v>NA</v>
      </c>
      <c r="H11" s="345">
        <v>0</v>
      </c>
      <c r="I11" s="345">
        <v>0</v>
      </c>
      <c r="J11" s="346">
        <f t="shared" si="4"/>
        <v>0</v>
      </c>
      <c r="K11" s="347" t="str">
        <f t="shared" si="5"/>
        <v>NA</v>
      </c>
      <c r="L11" s="348">
        <f t="shared" si="2"/>
        <v>0</v>
      </c>
      <c r="M11" s="347" t="str">
        <f t="shared" si="3"/>
        <v>NA</v>
      </c>
    </row>
    <row r="12" spans="1:13" x14ac:dyDescent="0.25">
      <c r="A12" s="365"/>
      <c r="B12" s="503"/>
      <c r="C12" s="504"/>
      <c r="D12" s="349">
        <v>0</v>
      </c>
      <c r="E12" s="349">
        <v>0</v>
      </c>
      <c r="F12" s="350">
        <f t="shared" si="0"/>
        <v>0</v>
      </c>
      <c r="G12" s="351" t="str">
        <f t="shared" si="1"/>
        <v>NA</v>
      </c>
      <c r="H12" s="349">
        <v>0</v>
      </c>
      <c r="I12" s="349">
        <v>0</v>
      </c>
      <c r="J12" s="350">
        <f t="shared" si="4"/>
        <v>0</v>
      </c>
      <c r="K12" s="351" t="str">
        <f t="shared" si="5"/>
        <v>NA</v>
      </c>
      <c r="L12" s="352">
        <f t="shared" si="2"/>
        <v>0</v>
      </c>
      <c r="M12" s="351" t="str">
        <f t="shared" si="3"/>
        <v>NA</v>
      </c>
    </row>
    <row r="13" spans="1:13" x14ac:dyDescent="0.25">
      <c r="A13" s="366"/>
      <c r="B13" s="505"/>
      <c r="C13" s="506"/>
      <c r="D13" s="345">
        <v>0</v>
      </c>
      <c r="E13" s="345">
        <v>0</v>
      </c>
      <c r="F13" s="346">
        <f t="shared" si="0"/>
        <v>0</v>
      </c>
      <c r="G13" s="347" t="str">
        <f t="shared" si="1"/>
        <v>NA</v>
      </c>
      <c r="H13" s="345">
        <v>0</v>
      </c>
      <c r="I13" s="345">
        <v>0</v>
      </c>
      <c r="J13" s="346">
        <f t="shared" si="4"/>
        <v>0</v>
      </c>
      <c r="K13" s="347" t="str">
        <f t="shared" si="5"/>
        <v>NA</v>
      </c>
      <c r="L13" s="348">
        <f t="shared" si="2"/>
        <v>0</v>
      </c>
      <c r="M13" s="347" t="str">
        <f t="shared" si="3"/>
        <v>NA</v>
      </c>
    </row>
    <row r="14" spans="1:13" x14ac:dyDescent="0.25">
      <c r="A14" s="365"/>
      <c r="B14" s="503"/>
      <c r="C14" s="504"/>
      <c r="D14" s="349">
        <v>0</v>
      </c>
      <c r="E14" s="349">
        <v>0</v>
      </c>
      <c r="F14" s="350">
        <f t="shared" si="0"/>
        <v>0</v>
      </c>
      <c r="G14" s="351" t="str">
        <f t="shared" si="1"/>
        <v>NA</v>
      </c>
      <c r="H14" s="349">
        <v>0</v>
      </c>
      <c r="I14" s="349">
        <v>0</v>
      </c>
      <c r="J14" s="350">
        <f t="shared" si="4"/>
        <v>0</v>
      </c>
      <c r="K14" s="351" t="str">
        <f t="shared" si="5"/>
        <v>NA</v>
      </c>
      <c r="L14" s="352">
        <f t="shared" si="2"/>
        <v>0</v>
      </c>
      <c r="M14" s="351" t="str">
        <f t="shared" si="3"/>
        <v>NA</v>
      </c>
    </row>
    <row r="15" spans="1:13" x14ac:dyDescent="0.25">
      <c r="A15" s="366"/>
      <c r="B15" s="505"/>
      <c r="C15" s="506"/>
      <c r="D15" s="345">
        <v>0</v>
      </c>
      <c r="E15" s="345">
        <v>0</v>
      </c>
      <c r="F15" s="346">
        <f t="shared" si="0"/>
        <v>0</v>
      </c>
      <c r="G15" s="347" t="str">
        <f t="shared" si="1"/>
        <v>NA</v>
      </c>
      <c r="H15" s="345">
        <v>0</v>
      </c>
      <c r="I15" s="345">
        <v>0</v>
      </c>
      <c r="J15" s="346">
        <f t="shared" si="4"/>
        <v>0</v>
      </c>
      <c r="K15" s="347" t="str">
        <f t="shared" si="5"/>
        <v>NA</v>
      </c>
      <c r="L15" s="348">
        <f t="shared" si="2"/>
        <v>0</v>
      </c>
      <c r="M15" s="347" t="str">
        <f t="shared" si="3"/>
        <v>NA</v>
      </c>
    </row>
    <row r="16" spans="1:13" x14ac:dyDescent="0.25">
      <c r="A16" s="365"/>
      <c r="B16" s="503"/>
      <c r="C16" s="504"/>
      <c r="D16" s="349">
        <v>0</v>
      </c>
      <c r="E16" s="349">
        <v>0</v>
      </c>
      <c r="F16" s="350">
        <f t="shared" si="0"/>
        <v>0</v>
      </c>
      <c r="G16" s="351" t="str">
        <f t="shared" si="1"/>
        <v>NA</v>
      </c>
      <c r="H16" s="349">
        <v>0</v>
      </c>
      <c r="I16" s="349">
        <v>0</v>
      </c>
      <c r="J16" s="350">
        <f t="shared" si="4"/>
        <v>0</v>
      </c>
      <c r="K16" s="351" t="str">
        <f t="shared" si="5"/>
        <v>NA</v>
      </c>
      <c r="L16" s="352">
        <f t="shared" si="2"/>
        <v>0</v>
      </c>
      <c r="M16" s="351" t="str">
        <f t="shared" si="3"/>
        <v>NA</v>
      </c>
    </row>
    <row r="17" spans="1:13" x14ac:dyDescent="0.25">
      <c r="A17" s="366"/>
      <c r="B17" s="505"/>
      <c r="C17" s="506"/>
      <c r="D17" s="345">
        <v>0</v>
      </c>
      <c r="E17" s="345">
        <v>0</v>
      </c>
      <c r="F17" s="346">
        <f t="shared" si="0"/>
        <v>0</v>
      </c>
      <c r="G17" s="347" t="str">
        <f t="shared" si="1"/>
        <v>NA</v>
      </c>
      <c r="H17" s="345">
        <v>0</v>
      </c>
      <c r="I17" s="345">
        <v>0</v>
      </c>
      <c r="J17" s="346">
        <f t="shared" ref="J17:J88" si="6">SUM(H17:I17)</f>
        <v>0</v>
      </c>
      <c r="K17" s="347" t="str">
        <f t="shared" ref="K17:K53" si="7">IFERROR((H17/J17),"NA")</f>
        <v>NA</v>
      </c>
      <c r="L17" s="348">
        <f t="shared" si="2"/>
        <v>0</v>
      </c>
      <c r="M17" s="347" t="str">
        <f t="shared" si="3"/>
        <v>NA</v>
      </c>
    </row>
    <row r="18" spans="1:13" x14ac:dyDescent="0.25">
      <c r="A18" s="365"/>
      <c r="B18" s="503"/>
      <c r="C18" s="504"/>
      <c r="D18" s="349">
        <v>0</v>
      </c>
      <c r="E18" s="349">
        <v>0</v>
      </c>
      <c r="F18" s="350">
        <f t="shared" si="0"/>
        <v>0</v>
      </c>
      <c r="G18" s="351" t="str">
        <f t="shared" si="1"/>
        <v>NA</v>
      </c>
      <c r="H18" s="349">
        <v>0</v>
      </c>
      <c r="I18" s="349">
        <v>0</v>
      </c>
      <c r="J18" s="350">
        <f t="shared" si="6"/>
        <v>0</v>
      </c>
      <c r="K18" s="351" t="str">
        <f t="shared" si="7"/>
        <v>NA</v>
      </c>
      <c r="L18" s="352">
        <f t="shared" si="2"/>
        <v>0</v>
      </c>
      <c r="M18" s="351" t="str">
        <f t="shared" si="3"/>
        <v>NA</v>
      </c>
    </row>
    <row r="19" spans="1:13" x14ac:dyDescent="0.25">
      <c r="A19" s="366"/>
      <c r="B19" s="505"/>
      <c r="C19" s="506"/>
      <c r="D19" s="345">
        <v>0</v>
      </c>
      <c r="E19" s="345">
        <v>0</v>
      </c>
      <c r="F19" s="346">
        <f t="shared" si="0"/>
        <v>0</v>
      </c>
      <c r="G19" s="347" t="str">
        <f t="shared" si="1"/>
        <v>NA</v>
      </c>
      <c r="H19" s="345">
        <v>0</v>
      </c>
      <c r="I19" s="345">
        <v>0</v>
      </c>
      <c r="J19" s="346">
        <f t="shared" si="6"/>
        <v>0</v>
      </c>
      <c r="K19" s="347" t="str">
        <f t="shared" si="7"/>
        <v>NA</v>
      </c>
      <c r="L19" s="348">
        <f t="shared" si="2"/>
        <v>0</v>
      </c>
      <c r="M19" s="347" t="str">
        <f t="shared" si="3"/>
        <v>NA</v>
      </c>
    </row>
    <row r="20" spans="1:13" x14ac:dyDescent="0.25">
      <c r="A20" s="365"/>
      <c r="B20" s="503"/>
      <c r="C20" s="504"/>
      <c r="D20" s="349">
        <v>0</v>
      </c>
      <c r="E20" s="349">
        <v>0</v>
      </c>
      <c r="F20" s="350">
        <f t="shared" si="0"/>
        <v>0</v>
      </c>
      <c r="G20" s="351" t="str">
        <f t="shared" si="1"/>
        <v>NA</v>
      </c>
      <c r="H20" s="349">
        <v>0</v>
      </c>
      <c r="I20" s="349">
        <v>0</v>
      </c>
      <c r="J20" s="350">
        <f t="shared" si="6"/>
        <v>0</v>
      </c>
      <c r="K20" s="351" t="str">
        <f t="shared" si="7"/>
        <v>NA</v>
      </c>
      <c r="L20" s="352">
        <f t="shared" si="2"/>
        <v>0</v>
      </c>
      <c r="M20" s="351" t="str">
        <f t="shared" si="3"/>
        <v>NA</v>
      </c>
    </row>
    <row r="21" spans="1:13" x14ac:dyDescent="0.25">
      <c r="A21" s="366"/>
      <c r="B21" s="505"/>
      <c r="C21" s="506"/>
      <c r="D21" s="345">
        <v>0</v>
      </c>
      <c r="E21" s="345">
        <v>0</v>
      </c>
      <c r="F21" s="346">
        <f t="shared" si="0"/>
        <v>0</v>
      </c>
      <c r="G21" s="347" t="str">
        <f t="shared" si="1"/>
        <v>NA</v>
      </c>
      <c r="H21" s="345">
        <v>0</v>
      </c>
      <c r="I21" s="345">
        <v>0</v>
      </c>
      <c r="J21" s="346">
        <f t="shared" si="6"/>
        <v>0</v>
      </c>
      <c r="K21" s="347" t="str">
        <f t="shared" si="7"/>
        <v>NA</v>
      </c>
      <c r="L21" s="348">
        <f t="shared" si="2"/>
        <v>0</v>
      </c>
      <c r="M21" s="347" t="str">
        <f t="shared" si="3"/>
        <v>NA</v>
      </c>
    </row>
    <row r="22" spans="1:13" x14ac:dyDescent="0.25">
      <c r="A22" s="365"/>
      <c r="B22" s="503"/>
      <c r="C22" s="504"/>
      <c r="D22" s="349">
        <v>0</v>
      </c>
      <c r="E22" s="349">
        <v>0</v>
      </c>
      <c r="F22" s="350">
        <f t="shared" si="0"/>
        <v>0</v>
      </c>
      <c r="G22" s="351" t="str">
        <f t="shared" si="1"/>
        <v>NA</v>
      </c>
      <c r="H22" s="349">
        <v>0</v>
      </c>
      <c r="I22" s="349">
        <v>0</v>
      </c>
      <c r="J22" s="350">
        <f t="shared" si="6"/>
        <v>0</v>
      </c>
      <c r="K22" s="351" t="str">
        <f t="shared" si="7"/>
        <v>NA</v>
      </c>
      <c r="L22" s="352">
        <f t="shared" si="2"/>
        <v>0</v>
      </c>
      <c r="M22" s="351" t="str">
        <f t="shared" si="3"/>
        <v>NA</v>
      </c>
    </row>
    <row r="23" spans="1:13" x14ac:dyDescent="0.25">
      <c r="A23" s="366"/>
      <c r="B23" s="505"/>
      <c r="C23" s="506"/>
      <c r="D23" s="345">
        <v>0</v>
      </c>
      <c r="E23" s="345">
        <v>0</v>
      </c>
      <c r="F23" s="346">
        <f t="shared" si="0"/>
        <v>0</v>
      </c>
      <c r="G23" s="347" t="str">
        <f t="shared" si="1"/>
        <v>NA</v>
      </c>
      <c r="H23" s="345">
        <v>0</v>
      </c>
      <c r="I23" s="345">
        <v>0</v>
      </c>
      <c r="J23" s="346">
        <f t="shared" si="6"/>
        <v>0</v>
      </c>
      <c r="K23" s="347" t="str">
        <f t="shared" si="7"/>
        <v>NA</v>
      </c>
      <c r="L23" s="348">
        <f t="shared" si="2"/>
        <v>0</v>
      </c>
      <c r="M23" s="347" t="str">
        <f t="shared" si="3"/>
        <v>NA</v>
      </c>
    </row>
    <row r="24" spans="1:13" x14ac:dyDescent="0.25">
      <c r="A24" s="365"/>
      <c r="B24" s="503"/>
      <c r="C24" s="504"/>
      <c r="D24" s="349">
        <v>0</v>
      </c>
      <c r="E24" s="349">
        <v>0</v>
      </c>
      <c r="F24" s="350">
        <f t="shared" si="0"/>
        <v>0</v>
      </c>
      <c r="G24" s="351" t="str">
        <f t="shared" si="1"/>
        <v>NA</v>
      </c>
      <c r="H24" s="349">
        <v>0</v>
      </c>
      <c r="I24" s="349">
        <v>0</v>
      </c>
      <c r="J24" s="350">
        <f t="shared" si="6"/>
        <v>0</v>
      </c>
      <c r="K24" s="351" t="str">
        <f t="shared" si="7"/>
        <v>NA</v>
      </c>
      <c r="L24" s="352">
        <f t="shared" si="2"/>
        <v>0</v>
      </c>
      <c r="M24" s="351" t="str">
        <f t="shared" si="3"/>
        <v>NA</v>
      </c>
    </row>
    <row r="25" spans="1:13" x14ac:dyDescent="0.25">
      <c r="A25" s="366"/>
      <c r="B25" s="505"/>
      <c r="C25" s="506"/>
      <c r="D25" s="345">
        <v>0</v>
      </c>
      <c r="E25" s="345">
        <v>0</v>
      </c>
      <c r="F25" s="346">
        <f t="shared" si="0"/>
        <v>0</v>
      </c>
      <c r="G25" s="347" t="str">
        <f t="shared" si="1"/>
        <v>NA</v>
      </c>
      <c r="H25" s="345">
        <v>0</v>
      </c>
      <c r="I25" s="345">
        <v>0</v>
      </c>
      <c r="J25" s="346">
        <f t="shared" si="6"/>
        <v>0</v>
      </c>
      <c r="K25" s="347" t="str">
        <f t="shared" si="7"/>
        <v>NA</v>
      </c>
      <c r="L25" s="348">
        <f t="shared" si="2"/>
        <v>0</v>
      </c>
      <c r="M25" s="347" t="str">
        <f t="shared" si="3"/>
        <v>NA</v>
      </c>
    </row>
    <row r="26" spans="1:13" x14ac:dyDescent="0.25">
      <c r="A26" s="365"/>
      <c r="B26" s="503"/>
      <c r="C26" s="504"/>
      <c r="D26" s="349">
        <v>0</v>
      </c>
      <c r="E26" s="349">
        <v>0</v>
      </c>
      <c r="F26" s="350">
        <f t="shared" si="0"/>
        <v>0</v>
      </c>
      <c r="G26" s="351" t="str">
        <f t="shared" si="1"/>
        <v>NA</v>
      </c>
      <c r="H26" s="349">
        <v>0</v>
      </c>
      <c r="I26" s="349">
        <v>0</v>
      </c>
      <c r="J26" s="350">
        <f t="shared" si="6"/>
        <v>0</v>
      </c>
      <c r="K26" s="351" t="str">
        <f t="shared" si="7"/>
        <v>NA</v>
      </c>
      <c r="L26" s="352">
        <f t="shared" si="2"/>
        <v>0</v>
      </c>
      <c r="M26" s="351" t="str">
        <f t="shared" si="3"/>
        <v>NA</v>
      </c>
    </row>
    <row r="27" spans="1:13" x14ac:dyDescent="0.25">
      <c r="A27" s="366"/>
      <c r="B27" s="505"/>
      <c r="C27" s="506"/>
      <c r="D27" s="345">
        <v>0</v>
      </c>
      <c r="E27" s="345">
        <v>0</v>
      </c>
      <c r="F27" s="346">
        <f t="shared" si="0"/>
        <v>0</v>
      </c>
      <c r="G27" s="347" t="str">
        <f t="shared" si="1"/>
        <v>NA</v>
      </c>
      <c r="H27" s="345">
        <v>0</v>
      </c>
      <c r="I27" s="345">
        <v>0</v>
      </c>
      <c r="J27" s="346">
        <f t="shared" si="6"/>
        <v>0</v>
      </c>
      <c r="K27" s="347" t="str">
        <f t="shared" si="7"/>
        <v>NA</v>
      </c>
      <c r="L27" s="348">
        <f t="shared" si="2"/>
        <v>0</v>
      </c>
      <c r="M27" s="347" t="str">
        <f t="shared" si="3"/>
        <v>NA</v>
      </c>
    </row>
    <row r="28" spans="1:13" x14ac:dyDescent="0.25">
      <c r="A28" s="365"/>
      <c r="B28" s="503"/>
      <c r="C28" s="504"/>
      <c r="D28" s="349">
        <v>0</v>
      </c>
      <c r="E28" s="349">
        <v>0</v>
      </c>
      <c r="F28" s="350">
        <f t="shared" si="0"/>
        <v>0</v>
      </c>
      <c r="G28" s="351" t="str">
        <f t="shared" si="1"/>
        <v>NA</v>
      </c>
      <c r="H28" s="349">
        <v>0</v>
      </c>
      <c r="I28" s="349">
        <v>0</v>
      </c>
      <c r="J28" s="350">
        <f t="shared" si="6"/>
        <v>0</v>
      </c>
      <c r="K28" s="351" t="str">
        <f t="shared" si="7"/>
        <v>NA</v>
      </c>
      <c r="L28" s="352">
        <f t="shared" si="2"/>
        <v>0</v>
      </c>
      <c r="M28" s="351" t="str">
        <f t="shared" si="3"/>
        <v>NA</v>
      </c>
    </row>
    <row r="29" spans="1:13" x14ac:dyDescent="0.25">
      <c r="A29" s="366"/>
      <c r="B29" s="505"/>
      <c r="C29" s="506"/>
      <c r="D29" s="345">
        <v>0</v>
      </c>
      <c r="E29" s="345">
        <v>0</v>
      </c>
      <c r="F29" s="346">
        <f t="shared" si="0"/>
        <v>0</v>
      </c>
      <c r="G29" s="347" t="str">
        <f t="shared" si="1"/>
        <v>NA</v>
      </c>
      <c r="H29" s="345">
        <v>0</v>
      </c>
      <c r="I29" s="345">
        <v>0</v>
      </c>
      <c r="J29" s="346">
        <f t="shared" si="6"/>
        <v>0</v>
      </c>
      <c r="K29" s="347" t="str">
        <f t="shared" si="7"/>
        <v>NA</v>
      </c>
      <c r="L29" s="348">
        <f t="shared" si="2"/>
        <v>0</v>
      </c>
      <c r="M29" s="347" t="str">
        <f t="shared" si="3"/>
        <v>NA</v>
      </c>
    </row>
    <row r="30" spans="1:13" x14ac:dyDescent="0.25">
      <c r="A30" s="365"/>
      <c r="B30" s="503"/>
      <c r="C30" s="504"/>
      <c r="D30" s="349">
        <v>0</v>
      </c>
      <c r="E30" s="349">
        <v>0</v>
      </c>
      <c r="F30" s="350">
        <f t="shared" si="0"/>
        <v>0</v>
      </c>
      <c r="G30" s="351" t="str">
        <f t="shared" si="1"/>
        <v>NA</v>
      </c>
      <c r="H30" s="349">
        <v>0</v>
      </c>
      <c r="I30" s="349">
        <v>0</v>
      </c>
      <c r="J30" s="350">
        <f t="shared" si="6"/>
        <v>0</v>
      </c>
      <c r="K30" s="351" t="str">
        <f t="shared" si="7"/>
        <v>NA</v>
      </c>
      <c r="L30" s="352">
        <f t="shared" si="2"/>
        <v>0</v>
      </c>
      <c r="M30" s="351" t="str">
        <f t="shared" si="3"/>
        <v>NA</v>
      </c>
    </row>
    <row r="31" spans="1:13" x14ac:dyDescent="0.25">
      <c r="A31" s="366"/>
      <c r="B31" s="505"/>
      <c r="C31" s="506"/>
      <c r="D31" s="345">
        <v>0</v>
      </c>
      <c r="E31" s="345">
        <v>0</v>
      </c>
      <c r="F31" s="346">
        <f t="shared" si="0"/>
        <v>0</v>
      </c>
      <c r="G31" s="347" t="str">
        <f t="shared" si="1"/>
        <v>NA</v>
      </c>
      <c r="H31" s="345">
        <v>0</v>
      </c>
      <c r="I31" s="345">
        <v>0</v>
      </c>
      <c r="J31" s="346">
        <f t="shared" si="6"/>
        <v>0</v>
      </c>
      <c r="K31" s="347" t="str">
        <f t="shared" si="7"/>
        <v>NA</v>
      </c>
      <c r="L31" s="348">
        <f t="shared" si="2"/>
        <v>0</v>
      </c>
      <c r="M31" s="347" t="str">
        <f t="shared" si="3"/>
        <v>NA</v>
      </c>
    </row>
    <row r="32" spans="1:13" x14ac:dyDescent="0.25">
      <c r="A32" s="365"/>
      <c r="B32" s="503"/>
      <c r="C32" s="504"/>
      <c r="D32" s="349">
        <v>0</v>
      </c>
      <c r="E32" s="349">
        <v>0</v>
      </c>
      <c r="F32" s="350">
        <f t="shared" si="0"/>
        <v>0</v>
      </c>
      <c r="G32" s="351" t="str">
        <f t="shared" si="1"/>
        <v>NA</v>
      </c>
      <c r="H32" s="349">
        <v>0</v>
      </c>
      <c r="I32" s="349">
        <v>0</v>
      </c>
      <c r="J32" s="350">
        <f t="shared" si="6"/>
        <v>0</v>
      </c>
      <c r="K32" s="351" t="str">
        <f t="shared" si="7"/>
        <v>NA</v>
      </c>
      <c r="L32" s="352">
        <f t="shared" si="2"/>
        <v>0</v>
      </c>
      <c r="M32" s="351" t="str">
        <f t="shared" si="3"/>
        <v>NA</v>
      </c>
    </row>
    <row r="33" spans="1:13" x14ac:dyDescent="0.25">
      <c r="A33" s="366"/>
      <c r="B33" s="505"/>
      <c r="C33" s="506"/>
      <c r="D33" s="345">
        <v>0</v>
      </c>
      <c r="E33" s="345">
        <v>0</v>
      </c>
      <c r="F33" s="346">
        <f t="shared" si="0"/>
        <v>0</v>
      </c>
      <c r="G33" s="347" t="str">
        <f t="shared" si="1"/>
        <v>NA</v>
      </c>
      <c r="H33" s="345">
        <v>0</v>
      </c>
      <c r="I33" s="345">
        <v>0</v>
      </c>
      <c r="J33" s="346">
        <f t="shared" si="6"/>
        <v>0</v>
      </c>
      <c r="K33" s="347" t="str">
        <f t="shared" si="7"/>
        <v>NA</v>
      </c>
      <c r="L33" s="348">
        <f t="shared" si="2"/>
        <v>0</v>
      </c>
      <c r="M33" s="347" t="str">
        <f t="shared" si="3"/>
        <v>NA</v>
      </c>
    </row>
    <row r="34" spans="1:13" x14ac:dyDescent="0.25">
      <c r="A34" s="365"/>
      <c r="B34" s="503"/>
      <c r="C34" s="504"/>
      <c r="D34" s="349">
        <v>0</v>
      </c>
      <c r="E34" s="349">
        <v>0</v>
      </c>
      <c r="F34" s="350">
        <f t="shared" si="0"/>
        <v>0</v>
      </c>
      <c r="G34" s="351" t="str">
        <f t="shared" si="1"/>
        <v>NA</v>
      </c>
      <c r="H34" s="349">
        <v>0</v>
      </c>
      <c r="I34" s="349">
        <v>0</v>
      </c>
      <c r="J34" s="350">
        <f t="shared" si="6"/>
        <v>0</v>
      </c>
      <c r="K34" s="351" t="str">
        <f t="shared" si="7"/>
        <v>NA</v>
      </c>
      <c r="L34" s="352">
        <f t="shared" si="2"/>
        <v>0</v>
      </c>
      <c r="M34" s="351" t="str">
        <f t="shared" si="3"/>
        <v>NA</v>
      </c>
    </row>
    <row r="35" spans="1:13" x14ac:dyDescent="0.25">
      <c r="A35" s="366"/>
      <c r="B35" s="505"/>
      <c r="C35" s="506"/>
      <c r="D35" s="345">
        <v>0</v>
      </c>
      <c r="E35" s="345">
        <v>0</v>
      </c>
      <c r="F35" s="346">
        <f t="shared" si="0"/>
        <v>0</v>
      </c>
      <c r="G35" s="347" t="str">
        <f t="shared" si="1"/>
        <v>NA</v>
      </c>
      <c r="H35" s="345">
        <v>0</v>
      </c>
      <c r="I35" s="345">
        <v>0</v>
      </c>
      <c r="J35" s="346">
        <f t="shared" si="6"/>
        <v>0</v>
      </c>
      <c r="K35" s="347" t="str">
        <f t="shared" si="7"/>
        <v>NA</v>
      </c>
      <c r="L35" s="348">
        <f t="shared" si="2"/>
        <v>0</v>
      </c>
      <c r="M35" s="347" t="str">
        <f t="shared" si="3"/>
        <v>NA</v>
      </c>
    </row>
    <row r="36" spans="1:13" x14ac:dyDescent="0.25">
      <c r="A36" s="365"/>
      <c r="B36" s="503"/>
      <c r="C36" s="504"/>
      <c r="D36" s="349">
        <v>0</v>
      </c>
      <c r="E36" s="349">
        <v>0</v>
      </c>
      <c r="F36" s="350">
        <f t="shared" si="0"/>
        <v>0</v>
      </c>
      <c r="G36" s="351" t="str">
        <f t="shared" si="1"/>
        <v>NA</v>
      </c>
      <c r="H36" s="349">
        <v>0</v>
      </c>
      <c r="I36" s="349">
        <v>0</v>
      </c>
      <c r="J36" s="350">
        <f t="shared" si="6"/>
        <v>0</v>
      </c>
      <c r="K36" s="351" t="str">
        <f t="shared" si="7"/>
        <v>NA</v>
      </c>
      <c r="L36" s="352">
        <f t="shared" si="2"/>
        <v>0</v>
      </c>
      <c r="M36" s="351" t="str">
        <f t="shared" si="3"/>
        <v>NA</v>
      </c>
    </row>
    <row r="37" spans="1:13" x14ac:dyDescent="0.25">
      <c r="A37" s="366"/>
      <c r="B37" s="505"/>
      <c r="C37" s="506"/>
      <c r="D37" s="345">
        <v>0</v>
      </c>
      <c r="E37" s="345">
        <v>0</v>
      </c>
      <c r="F37" s="346">
        <f t="shared" si="0"/>
        <v>0</v>
      </c>
      <c r="G37" s="347" t="str">
        <f t="shared" si="1"/>
        <v>NA</v>
      </c>
      <c r="H37" s="345">
        <v>0</v>
      </c>
      <c r="I37" s="345">
        <v>0</v>
      </c>
      <c r="J37" s="346">
        <f t="shared" si="6"/>
        <v>0</v>
      </c>
      <c r="K37" s="347" t="str">
        <f t="shared" si="7"/>
        <v>NA</v>
      </c>
      <c r="L37" s="348">
        <f t="shared" si="2"/>
        <v>0</v>
      </c>
      <c r="M37" s="347" t="str">
        <f t="shared" si="3"/>
        <v>NA</v>
      </c>
    </row>
    <row r="38" spans="1:13" x14ac:dyDescent="0.25">
      <c r="A38" s="365"/>
      <c r="B38" s="503"/>
      <c r="C38" s="504"/>
      <c r="D38" s="349">
        <v>0</v>
      </c>
      <c r="E38" s="349">
        <v>0</v>
      </c>
      <c r="F38" s="350">
        <f t="shared" si="0"/>
        <v>0</v>
      </c>
      <c r="G38" s="351" t="str">
        <f t="shared" si="1"/>
        <v>NA</v>
      </c>
      <c r="H38" s="349">
        <v>0</v>
      </c>
      <c r="I38" s="349">
        <v>0</v>
      </c>
      <c r="J38" s="350">
        <f t="shared" si="6"/>
        <v>0</v>
      </c>
      <c r="K38" s="351" t="str">
        <f t="shared" si="7"/>
        <v>NA</v>
      </c>
      <c r="L38" s="352">
        <f t="shared" si="2"/>
        <v>0</v>
      </c>
      <c r="M38" s="351" t="str">
        <f t="shared" si="3"/>
        <v>NA</v>
      </c>
    </row>
    <row r="39" spans="1:13" x14ac:dyDescent="0.25">
      <c r="A39" s="366"/>
      <c r="B39" s="505"/>
      <c r="C39" s="506"/>
      <c r="D39" s="345">
        <v>0</v>
      </c>
      <c r="E39" s="345">
        <v>0</v>
      </c>
      <c r="F39" s="346">
        <f t="shared" si="0"/>
        <v>0</v>
      </c>
      <c r="G39" s="347" t="str">
        <f t="shared" si="1"/>
        <v>NA</v>
      </c>
      <c r="H39" s="345">
        <v>0</v>
      </c>
      <c r="I39" s="345">
        <v>0</v>
      </c>
      <c r="J39" s="346">
        <f t="shared" si="6"/>
        <v>0</v>
      </c>
      <c r="K39" s="347" t="str">
        <f t="shared" si="7"/>
        <v>NA</v>
      </c>
      <c r="L39" s="348">
        <f t="shared" si="2"/>
        <v>0</v>
      </c>
      <c r="M39" s="347" t="str">
        <f t="shared" si="3"/>
        <v>NA</v>
      </c>
    </row>
    <row r="40" spans="1:13" x14ac:dyDescent="0.25">
      <c r="A40" s="365"/>
      <c r="B40" s="503"/>
      <c r="C40" s="504"/>
      <c r="D40" s="349">
        <v>0</v>
      </c>
      <c r="E40" s="349">
        <v>0</v>
      </c>
      <c r="F40" s="350">
        <f t="shared" si="0"/>
        <v>0</v>
      </c>
      <c r="G40" s="351" t="str">
        <f t="shared" si="1"/>
        <v>NA</v>
      </c>
      <c r="H40" s="349">
        <v>0</v>
      </c>
      <c r="I40" s="349">
        <v>0</v>
      </c>
      <c r="J40" s="350">
        <f t="shared" si="6"/>
        <v>0</v>
      </c>
      <c r="K40" s="351" t="str">
        <f t="shared" si="7"/>
        <v>NA</v>
      </c>
      <c r="L40" s="352">
        <f t="shared" si="2"/>
        <v>0</v>
      </c>
      <c r="M40" s="351" t="str">
        <f t="shared" si="3"/>
        <v>NA</v>
      </c>
    </row>
    <row r="41" spans="1:13" x14ac:dyDescent="0.25">
      <c r="A41" s="366"/>
      <c r="B41" s="505"/>
      <c r="C41" s="506"/>
      <c r="D41" s="345">
        <v>0</v>
      </c>
      <c r="E41" s="345">
        <v>0</v>
      </c>
      <c r="F41" s="346">
        <f t="shared" ref="F41:F72" si="8">SUM(D41:E41)</f>
        <v>0</v>
      </c>
      <c r="G41" s="347" t="str">
        <f t="shared" ref="G41:G72" si="9">IFERROR((D41/F41),"NA")</f>
        <v>NA</v>
      </c>
      <c r="H41" s="345">
        <v>0</v>
      </c>
      <c r="I41" s="345">
        <v>0</v>
      </c>
      <c r="J41" s="346">
        <f t="shared" si="6"/>
        <v>0</v>
      </c>
      <c r="K41" s="347" t="str">
        <f t="shared" si="7"/>
        <v>NA</v>
      </c>
      <c r="L41" s="348">
        <f t="shared" ref="L41:L72" si="10">H41-D41</f>
        <v>0</v>
      </c>
      <c r="M41" s="347" t="str">
        <f t="shared" ref="M41:M72" si="11">IFERROR((H41/D41-1),"NA")</f>
        <v>NA</v>
      </c>
    </row>
    <row r="42" spans="1:13" x14ac:dyDescent="0.25">
      <c r="A42" s="365"/>
      <c r="B42" s="503"/>
      <c r="C42" s="504"/>
      <c r="D42" s="349">
        <v>0</v>
      </c>
      <c r="E42" s="349">
        <v>0</v>
      </c>
      <c r="F42" s="350">
        <f t="shared" si="8"/>
        <v>0</v>
      </c>
      <c r="G42" s="351" t="str">
        <f t="shared" si="9"/>
        <v>NA</v>
      </c>
      <c r="H42" s="349">
        <v>0</v>
      </c>
      <c r="I42" s="349">
        <v>0</v>
      </c>
      <c r="J42" s="350">
        <f t="shared" si="6"/>
        <v>0</v>
      </c>
      <c r="K42" s="351" t="str">
        <f t="shared" si="7"/>
        <v>NA</v>
      </c>
      <c r="L42" s="352">
        <f t="shared" si="10"/>
        <v>0</v>
      </c>
      <c r="M42" s="351" t="str">
        <f t="shared" si="11"/>
        <v>NA</v>
      </c>
    </row>
    <row r="43" spans="1:13" x14ac:dyDescent="0.25">
      <c r="A43" s="366"/>
      <c r="B43" s="505"/>
      <c r="C43" s="506"/>
      <c r="D43" s="345">
        <v>0</v>
      </c>
      <c r="E43" s="345">
        <v>0</v>
      </c>
      <c r="F43" s="346">
        <f t="shared" si="8"/>
        <v>0</v>
      </c>
      <c r="G43" s="347" t="str">
        <f t="shared" si="9"/>
        <v>NA</v>
      </c>
      <c r="H43" s="345">
        <v>0</v>
      </c>
      <c r="I43" s="345">
        <v>0</v>
      </c>
      <c r="J43" s="346">
        <f t="shared" si="6"/>
        <v>0</v>
      </c>
      <c r="K43" s="347" t="str">
        <f t="shared" si="7"/>
        <v>NA</v>
      </c>
      <c r="L43" s="348">
        <f t="shared" si="10"/>
        <v>0</v>
      </c>
      <c r="M43" s="347" t="str">
        <f t="shared" si="11"/>
        <v>NA</v>
      </c>
    </row>
    <row r="44" spans="1:13" x14ac:dyDescent="0.25">
      <c r="A44" s="365"/>
      <c r="B44" s="503"/>
      <c r="C44" s="504"/>
      <c r="D44" s="349">
        <v>0</v>
      </c>
      <c r="E44" s="349">
        <v>0</v>
      </c>
      <c r="F44" s="350">
        <f t="shared" si="8"/>
        <v>0</v>
      </c>
      <c r="G44" s="351" t="str">
        <f t="shared" si="9"/>
        <v>NA</v>
      </c>
      <c r="H44" s="349">
        <v>0</v>
      </c>
      <c r="I44" s="349">
        <v>0</v>
      </c>
      <c r="J44" s="350">
        <f t="shared" si="6"/>
        <v>0</v>
      </c>
      <c r="K44" s="351" t="str">
        <f t="shared" si="7"/>
        <v>NA</v>
      </c>
      <c r="L44" s="352">
        <f t="shared" si="10"/>
        <v>0</v>
      </c>
      <c r="M44" s="351" t="str">
        <f t="shared" si="11"/>
        <v>NA</v>
      </c>
    </row>
    <row r="45" spans="1:13" x14ac:dyDescent="0.25">
      <c r="A45" s="366"/>
      <c r="B45" s="505"/>
      <c r="C45" s="506"/>
      <c r="D45" s="345">
        <v>0</v>
      </c>
      <c r="E45" s="345">
        <v>0</v>
      </c>
      <c r="F45" s="346">
        <f t="shared" si="8"/>
        <v>0</v>
      </c>
      <c r="G45" s="347" t="str">
        <f t="shared" si="9"/>
        <v>NA</v>
      </c>
      <c r="H45" s="345">
        <v>0</v>
      </c>
      <c r="I45" s="345">
        <v>0</v>
      </c>
      <c r="J45" s="346">
        <f t="shared" si="6"/>
        <v>0</v>
      </c>
      <c r="K45" s="347" t="str">
        <f t="shared" si="7"/>
        <v>NA</v>
      </c>
      <c r="L45" s="348">
        <f t="shared" si="10"/>
        <v>0</v>
      </c>
      <c r="M45" s="347" t="str">
        <f t="shared" si="11"/>
        <v>NA</v>
      </c>
    </row>
    <row r="46" spans="1:13" x14ac:dyDescent="0.25">
      <c r="A46" s="365"/>
      <c r="B46" s="503"/>
      <c r="C46" s="504"/>
      <c r="D46" s="349">
        <v>0</v>
      </c>
      <c r="E46" s="349">
        <v>0</v>
      </c>
      <c r="F46" s="350">
        <f t="shared" si="8"/>
        <v>0</v>
      </c>
      <c r="G46" s="351" t="str">
        <f t="shared" si="9"/>
        <v>NA</v>
      </c>
      <c r="H46" s="349">
        <v>0</v>
      </c>
      <c r="I46" s="349">
        <v>0</v>
      </c>
      <c r="J46" s="350">
        <f t="shared" si="6"/>
        <v>0</v>
      </c>
      <c r="K46" s="351" t="str">
        <f t="shared" si="7"/>
        <v>NA</v>
      </c>
      <c r="L46" s="352">
        <f t="shared" si="10"/>
        <v>0</v>
      </c>
      <c r="M46" s="351" t="str">
        <f t="shared" si="11"/>
        <v>NA</v>
      </c>
    </row>
    <row r="47" spans="1:13" x14ac:dyDescent="0.25">
      <c r="A47" s="366"/>
      <c r="B47" s="505"/>
      <c r="C47" s="506"/>
      <c r="D47" s="345">
        <v>0</v>
      </c>
      <c r="E47" s="345">
        <v>0</v>
      </c>
      <c r="F47" s="346">
        <f t="shared" si="8"/>
        <v>0</v>
      </c>
      <c r="G47" s="347" t="str">
        <f t="shared" si="9"/>
        <v>NA</v>
      </c>
      <c r="H47" s="345">
        <v>0</v>
      </c>
      <c r="I47" s="345">
        <v>0</v>
      </c>
      <c r="J47" s="346">
        <f t="shared" si="6"/>
        <v>0</v>
      </c>
      <c r="K47" s="347" t="str">
        <f t="shared" si="7"/>
        <v>NA</v>
      </c>
      <c r="L47" s="348">
        <f t="shared" si="10"/>
        <v>0</v>
      </c>
      <c r="M47" s="347" t="str">
        <f t="shared" si="11"/>
        <v>NA</v>
      </c>
    </row>
    <row r="48" spans="1:13" x14ac:dyDescent="0.25">
      <c r="A48" s="365"/>
      <c r="B48" s="503"/>
      <c r="C48" s="504"/>
      <c r="D48" s="349">
        <v>0</v>
      </c>
      <c r="E48" s="349">
        <v>0</v>
      </c>
      <c r="F48" s="350">
        <f t="shared" si="8"/>
        <v>0</v>
      </c>
      <c r="G48" s="351" t="str">
        <f t="shared" si="9"/>
        <v>NA</v>
      </c>
      <c r="H48" s="349">
        <v>0</v>
      </c>
      <c r="I48" s="349">
        <v>0</v>
      </c>
      <c r="J48" s="350">
        <f t="shared" si="6"/>
        <v>0</v>
      </c>
      <c r="K48" s="351" t="str">
        <f t="shared" si="7"/>
        <v>NA</v>
      </c>
      <c r="L48" s="352">
        <f t="shared" si="10"/>
        <v>0</v>
      </c>
      <c r="M48" s="351" t="str">
        <f t="shared" si="11"/>
        <v>NA</v>
      </c>
    </row>
    <row r="49" spans="1:13" x14ac:dyDescent="0.25">
      <c r="A49" s="366"/>
      <c r="B49" s="505"/>
      <c r="C49" s="506"/>
      <c r="D49" s="345">
        <v>0</v>
      </c>
      <c r="E49" s="345">
        <v>0</v>
      </c>
      <c r="F49" s="346">
        <f t="shared" si="8"/>
        <v>0</v>
      </c>
      <c r="G49" s="347" t="str">
        <f t="shared" si="9"/>
        <v>NA</v>
      </c>
      <c r="H49" s="345">
        <v>0</v>
      </c>
      <c r="I49" s="345">
        <v>0</v>
      </c>
      <c r="J49" s="346">
        <f t="shared" si="6"/>
        <v>0</v>
      </c>
      <c r="K49" s="347" t="str">
        <f t="shared" si="7"/>
        <v>NA</v>
      </c>
      <c r="L49" s="348">
        <f t="shared" si="10"/>
        <v>0</v>
      </c>
      <c r="M49" s="347" t="str">
        <f t="shared" si="11"/>
        <v>NA</v>
      </c>
    </row>
    <row r="50" spans="1:13" x14ac:dyDescent="0.25">
      <c r="A50" s="365"/>
      <c r="B50" s="503"/>
      <c r="C50" s="504"/>
      <c r="D50" s="349">
        <v>0</v>
      </c>
      <c r="E50" s="349">
        <v>0</v>
      </c>
      <c r="F50" s="350">
        <f t="shared" si="8"/>
        <v>0</v>
      </c>
      <c r="G50" s="351" t="str">
        <f t="shared" si="9"/>
        <v>NA</v>
      </c>
      <c r="H50" s="349">
        <v>0</v>
      </c>
      <c r="I50" s="349">
        <v>0</v>
      </c>
      <c r="J50" s="350">
        <f t="shared" si="6"/>
        <v>0</v>
      </c>
      <c r="K50" s="351" t="str">
        <f t="shared" si="7"/>
        <v>NA</v>
      </c>
      <c r="L50" s="352">
        <f t="shared" si="10"/>
        <v>0</v>
      </c>
      <c r="M50" s="351" t="str">
        <f t="shared" si="11"/>
        <v>NA</v>
      </c>
    </row>
    <row r="51" spans="1:13" x14ac:dyDescent="0.25">
      <c r="A51" s="366"/>
      <c r="B51" s="505"/>
      <c r="C51" s="506"/>
      <c r="D51" s="345">
        <v>0</v>
      </c>
      <c r="E51" s="345">
        <v>0</v>
      </c>
      <c r="F51" s="346">
        <f t="shared" si="8"/>
        <v>0</v>
      </c>
      <c r="G51" s="347" t="str">
        <f t="shared" si="9"/>
        <v>NA</v>
      </c>
      <c r="H51" s="345">
        <v>0</v>
      </c>
      <c r="I51" s="345">
        <v>0</v>
      </c>
      <c r="J51" s="346">
        <f t="shared" si="6"/>
        <v>0</v>
      </c>
      <c r="K51" s="347" t="str">
        <f t="shared" si="7"/>
        <v>NA</v>
      </c>
      <c r="L51" s="348">
        <f t="shared" si="10"/>
        <v>0</v>
      </c>
      <c r="M51" s="347" t="str">
        <f t="shared" si="11"/>
        <v>NA</v>
      </c>
    </row>
    <row r="52" spans="1:13" x14ac:dyDescent="0.25">
      <c r="A52" s="365"/>
      <c r="B52" s="503"/>
      <c r="C52" s="504"/>
      <c r="D52" s="349">
        <v>0</v>
      </c>
      <c r="E52" s="349">
        <v>0</v>
      </c>
      <c r="F52" s="350">
        <f t="shared" si="8"/>
        <v>0</v>
      </c>
      <c r="G52" s="351" t="str">
        <f t="shared" si="9"/>
        <v>NA</v>
      </c>
      <c r="H52" s="349">
        <v>0</v>
      </c>
      <c r="I52" s="349">
        <v>0</v>
      </c>
      <c r="J52" s="350">
        <f t="shared" si="6"/>
        <v>0</v>
      </c>
      <c r="K52" s="351" t="str">
        <f t="shared" si="7"/>
        <v>NA</v>
      </c>
      <c r="L52" s="352">
        <f t="shared" si="10"/>
        <v>0</v>
      </c>
      <c r="M52" s="351" t="str">
        <f t="shared" si="11"/>
        <v>NA</v>
      </c>
    </row>
    <row r="53" spans="1:13" x14ac:dyDescent="0.25">
      <c r="A53" s="366"/>
      <c r="B53" s="505"/>
      <c r="C53" s="506"/>
      <c r="D53" s="345">
        <v>0</v>
      </c>
      <c r="E53" s="345">
        <v>0</v>
      </c>
      <c r="F53" s="346">
        <f t="shared" si="8"/>
        <v>0</v>
      </c>
      <c r="G53" s="347" t="str">
        <f t="shared" si="9"/>
        <v>NA</v>
      </c>
      <c r="H53" s="345">
        <v>0</v>
      </c>
      <c r="I53" s="345">
        <v>0</v>
      </c>
      <c r="J53" s="346">
        <f t="shared" si="6"/>
        <v>0</v>
      </c>
      <c r="K53" s="347" t="str">
        <f t="shared" si="7"/>
        <v>NA</v>
      </c>
      <c r="L53" s="348">
        <f t="shared" si="10"/>
        <v>0</v>
      </c>
      <c r="M53" s="347" t="str">
        <f t="shared" si="11"/>
        <v>NA</v>
      </c>
    </row>
    <row r="54" spans="1:13" x14ac:dyDescent="0.25">
      <c r="A54" s="365"/>
      <c r="B54" s="503"/>
      <c r="C54" s="504"/>
      <c r="D54" s="349">
        <v>0</v>
      </c>
      <c r="E54" s="349">
        <v>0</v>
      </c>
      <c r="F54" s="350">
        <f t="shared" si="8"/>
        <v>0</v>
      </c>
      <c r="G54" s="351" t="str">
        <f t="shared" si="9"/>
        <v>NA</v>
      </c>
      <c r="H54" s="349">
        <v>0</v>
      </c>
      <c r="I54" s="349">
        <v>0</v>
      </c>
      <c r="J54" s="350">
        <f t="shared" ref="J54:J87" si="12">SUM(H54:I54)</f>
        <v>0</v>
      </c>
      <c r="K54" s="351" t="str">
        <f t="shared" ref="K54:K87" si="13">IFERROR((H54/J54),"NA")</f>
        <v>NA</v>
      </c>
      <c r="L54" s="352">
        <f t="shared" si="10"/>
        <v>0</v>
      </c>
      <c r="M54" s="351" t="str">
        <f t="shared" si="11"/>
        <v>NA</v>
      </c>
    </row>
    <row r="55" spans="1:13" x14ac:dyDescent="0.25">
      <c r="A55" s="366"/>
      <c r="B55" s="505"/>
      <c r="C55" s="506"/>
      <c r="D55" s="345">
        <v>0</v>
      </c>
      <c r="E55" s="345">
        <v>0</v>
      </c>
      <c r="F55" s="346">
        <f t="shared" si="8"/>
        <v>0</v>
      </c>
      <c r="G55" s="347" t="str">
        <f t="shared" si="9"/>
        <v>NA</v>
      </c>
      <c r="H55" s="345">
        <v>0</v>
      </c>
      <c r="I55" s="345">
        <v>0</v>
      </c>
      <c r="J55" s="346">
        <f t="shared" si="12"/>
        <v>0</v>
      </c>
      <c r="K55" s="347" t="str">
        <f t="shared" si="13"/>
        <v>NA</v>
      </c>
      <c r="L55" s="348">
        <f t="shared" si="10"/>
        <v>0</v>
      </c>
      <c r="M55" s="347" t="str">
        <f t="shared" si="11"/>
        <v>NA</v>
      </c>
    </row>
    <row r="56" spans="1:13" x14ac:dyDescent="0.25">
      <c r="A56" s="365"/>
      <c r="B56" s="503"/>
      <c r="C56" s="504"/>
      <c r="D56" s="349">
        <v>0</v>
      </c>
      <c r="E56" s="349">
        <v>0</v>
      </c>
      <c r="F56" s="350">
        <f t="shared" si="8"/>
        <v>0</v>
      </c>
      <c r="G56" s="351" t="str">
        <f t="shared" si="9"/>
        <v>NA</v>
      </c>
      <c r="H56" s="349">
        <v>0</v>
      </c>
      <c r="I56" s="349">
        <v>0</v>
      </c>
      <c r="J56" s="350">
        <f t="shared" si="12"/>
        <v>0</v>
      </c>
      <c r="K56" s="351" t="str">
        <f t="shared" si="13"/>
        <v>NA</v>
      </c>
      <c r="L56" s="352">
        <f t="shared" si="10"/>
        <v>0</v>
      </c>
      <c r="M56" s="351" t="str">
        <f t="shared" si="11"/>
        <v>NA</v>
      </c>
    </row>
    <row r="57" spans="1:13" x14ac:dyDescent="0.25">
      <c r="A57" s="366"/>
      <c r="B57" s="505"/>
      <c r="C57" s="506"/>
      <c r="D57" s="345">
        <v>0</v>
      </c>
      <c r="E57" s="345">
        <v>0</v>
      </c>
      <c r="F57" s="346">
        <f t="shared" si="8"/>
        <v>0</v>
      </c>
      <c r="G57" s="347" t="str">
        <f t="shared" si="9"/>
        <v>NA</v>
      </c>
      <c r="H57" s="345">
        <v>0</v>
      </c>
      <c r="I57" s="345">
        <v>0</v>
      </c>
      <c r="J57" s="346">
        <f t="shared" si="12"/>
        <v>0</v>
      </c>
      <c r="K57" s="347" t="str">
        <f t="shared" si="13"/>
        <v>NA</v>
      </c>
      <c r="L57" s="348">
        <f t="shared" si="10"/>
        <v>0</v>
      </c>
      <c r="M57" s="347" t="str">
        <f t="shared" si="11"/>
        <v>NA</v>
      </c>
    </row>
    <row r="58" spans="1:13" x14ac:dyDescent="0.25">
      <c r="A58" s="365"/>
      <c r="B58" s="503"/>
      <c r="C58" s="504"/>
      <c r="D58" s="349">
        <v>0</v>
      </c>
      <c r="E58" s="349">
        <v>0</v>
      </c>
      <c r="F58" s="350">
        <f t="shared" si="8"/>
        <v>0</v>
      </c>
      <c r="G58" s="351" t="str">
        <f t="shared" si="9"/>
        <v>NA</v>
      </c>
      <c r="H58" s="349">
        <v>0</v>
      </c>
      <c r="I58" s="349">
        <v>0</v>
      </c>
      <c r="J58" s="350">
        <f t="shared" si="12"/>
        <v>0</v>
      </c>
      <c r="K58" s="351" t="str">
        <f t="shared" si="13"/>
        <v>NA</v>
      </c>
      <c r="L58" s="352">
        <f t="shared" si="10"/>
        <v>0</v>
      </c>
      <c r="M58" s="351" t="str">
        <f t="shared" si="11"/>
        <v>NA</v>
      </c>
    </row>
    <row r="59" spans="1:13" x14ac:dyDescent="0.25">
      <c r="A59" s="366"/>
      <c r="B59" s="505"/>
      <c r="C59" s="506"/>
      <c r="D59" s="345">
        <v>0</v>
      </c>
      <c r="E59" s="345">
        <v>0</v>
      </c>
      <c r="F59" s="346">
        <f t="shared" si="8"/>
        <v>0</v>
      </c>
      <c r="G59" s="347" t="str">
        <f t="shared" si="9"/>
        <v>NA</v>
      </c>
      <c r="H59" s="345">
        <v>0</v>
      </c>
      <c r="I59" s="345">
        <v>0</v>
      </c>
      <c r="J59" s="346">
        <f t="shared" si="12"/>
        <v>0</v>
      </c>
      <c r="K59" s="347" t="str">
        <f t="shared" si="13"/>
        <v>NA</v>
      </c>
      <c r="L59" s="348">
        <f t="shared" si="10"/>
        <v>0</v>
      </c>
      <c r="M59" s="347" t="str">
        <f t="shared" si="11"/>
        <v>NA</v>
      </c>
    </row>
    <row r="60" spans="1:13" x14ac:dyDescent="0.25">
      <c r="A60" s="365"/>
      <c r="B60" s="503"/>
      <c r="C60" s="504"/>
      <c r="D60" s="349">
        <v>0</v>
      </c>
      <c r="E60" s="349">
        <v>0</v>
      </c>
      <c r="F60" s="350">
        <f t="shared" si="8"/>
        <v>0</v>
      </c>
      <c r="G60" s="351" t="str">
        <f t="shared" si="9"/>
        <v>NA</v>
      </c>
      <c r="H60" s="349">
        <v>0</v>
      </c>
      <c r="I60" s="349">
        <v>0</v>
      </c>
      <c r="J60" s="350">
        <f t="shared" si="12"/>
        <v>0</v>
      </c>
      <c r="K60" s="351" t="str">
        <f t="shared" si="13"/>
        <v>NA</v>
      </c>
      <c r="L60" s="352">
        <f t="shared" si="10"/>
        <v>0</v>
      </c>
      <c r="M60" s="351" t="str">
        <f t="shared" si="11"/>
        <v>NA</v>
      </c>
    </row>
    <row r="61" spans="1:13" x14ac:dyDescent="0.25">
      <c r="A61" s="366"/>
      <c r="B61" s="505"/>
      <c r="C61" s="506"/>
      <c r="D61" s="345">
        <v>0</v>
      </c>
      <c r="E61" s="345">
        <v>0</v>
      </c>
      <c r="F61" s="346">
        <f t="shared" si="8"/>
        <v>0</v>
      </c>
      <c r="G61" s="347" t="str">
        <f t="shared" si="9"/>
        <v>NA</v>
      </c>
      <c r="H61" s="345">
        <v>0</v>
      </c>
      <c r="I61" s="345">
        <v>0</v>
      </c>
      <c r="J61" s="346">
        <f t="shared" si="12"/>
        <v>0</v>
      </c>
      <c r="K61" s="347" t="str">
        <f t="shared" si="13"/>
        <v>NA</v>
      </c>
      <c r="L61" s="348">
        <f t="shared" si="10"/>
        <v>0</v>
      </c>
      <c r="M61" s="347" t="str">
        <f t="shared" si="11"/>
        <v>NA</v>
      </c>
    </row>
    <row r="62" spans="1:13" x14ac:dyDescent="0.25">
      <c r="A62" s="365"/>
      <c r="B62" s="503"/>
      <c r="C62" s="504"/>
      <c r="D62" s="349">
        <v>0</v>
      </c>
      <c r="E62" s="349">
        <v>0</v>
      </c>
      <c r="F62" s="350">
        <f t="shared" si="8"/>
        <v>0</v>
      </c>
      <c r="G62" s="351" t="str">
        <f t="shared" si="9"/>
        <v>NA</v>
      </c>
      <c r="H62" s="349">
        <v>0</v>
      </c>
      <c r="I62" s="349">
        <v>0</v>
      </c>
      <c r="J62" s="350">
        <f t="shared" si="12"/>
        <v>0</v>
      </c>
      <c r="K62" s="351" t="str">
        <f t="shared" si="13"/>
        <v>NA</v>
      </c>
      <c r="L62" s="352">
        <f t="shared" si="10"/>
        <v>0</v>
      </c>
      <c r="M62" s="351" t="str">
        <f t="shared" si="11"/>
        <v>NA</v>
      </c>
    </row>
    <row r="63" spans="1:13" x14ac:dyDescent="0.25">
      <c r="A63" s="366"/>
      <c r="B63" s="505"/>
      <c r="C63" s="506"/>
      <c r="D63" s="345">
        <v>0</v>
      </c>
      <c r="E63" s="345">
        <v>0</v>
      </c>
      <c r="F63" s="346">
        <f t="shared" si="8"/>
        <v>0</v>
      </c>
      <c r="G63" s="347" t="str">
        <f t="shared" si="9"/>
        <v>NA</v>
      </c>
      <c r="H63" s="345">
        <v>0</v>
      </c>
      <c r="I63" s="345">
        <v>0</v>
      </c>
      <c r="J63" s="346">
        <f t="shared" si="12"/>
        <v>0</v>
      </c>
      <c r="K63" s="347" t="str">
        <f t="shared" si="13"/>
        <v>NA</v>
      </c>
      <c r="L63" s="348">
        <f t="shared" si="10"/>
        <v>0</v>
      </c>
      <c r="M63" s="347" t="str">
        <f t="shared" si="11"/>
        <v>NA</v>
      </c>
    </row>
    <row r="64" spans="1:13" x14ac:dyDescent="0.25">
      <c r="A64" s="365"/>
      <c r="B64" s="503"/>
      <c r="C64" s="504"/>
      <c r="D64" s="349">
        <v>0</v>
      </c>
      <c r="E64" s="349">
        <v>0</v>
      </c>
      <c r="F64" s="350">
        <f t="shared" si="8"/>
        <v>0</v>
      </c>
      <c r="G64" s="351" t="str">
        <f t="shared" si="9"/>
        <v>NA</v>
      </c>
      <c r="H64" s="349">
        <v>0</v>
      </c>
      <c r="I64" s="349">
        <v>0</v>
      </c>
      <c r="J64" s="350">
        <f t="shared" si="12"/>
        <v>0</v>
      </c>
      <c r="K64" s="351" t="str">
        <f t="shared" si="13"/>
        <v>NA</v>
      </c>
      <c r="L64" s="352">
        <f t="shared" si="10"/>
        <v>0</v>
      </c>
      <c r="M64" s="351" t="str">
        <f t="shared" si="11"/>
        <v>NA</v>
      </c>
    </row>
    <row r="65" spans="1:13" x14ac:dyDescent="0.25">
      <c r="A65" s="366"/>
      <c r="B65" s="505"/>
      <c r="C65" s="506"/>
      <c r="D65" s="345">
        <v>0</v>
      </c>
      <c r="E65" s="345">
        <v>0</v>
      </c>
      <c r="F65" s="346">
        <f t="shared" si="8"/>
        <v>0</v>
      </c>
      <c r="G65" s="347" t="str">
        <f t="shared" si="9"/>
        <v>NA</v>
      </c>
      <c r="H65" s="345">
        <v>0</v>
      </c>
      <c r="I65" s="345">
        <v>0</v>
      </c>
      <c r="J65" s="346">
        <f t="shared" si="12"/>
        <v>0</v>
      </c>
      <c r="K65" s="347" t="str">
        <f t="shared" si="13"/>
        <v>NA</v>
      </c>
      <c r="L65" s="348">
        <f t="shared" si="10"/>
        <v>0</v>
      </c>
      <c r="M65" s="347" t="str">
        <f t="shared" si="11"/>
        <v>NA</v>
      </c>
    </row>
    <row r="66" spans="1:13" x14ac:dyDescent="0.25">
      <c r="A66" s="365"/>
      <c r="B66" s="503"/>
      <c r="C66" s="504"/>
      <c r="D66" s="349">
        <v>0</v>
      </c>
      <c r="E66" s="349">
        <v>0</v>
      </c>
      <c r="F66" s="350">
        <f t="shared" si="8"/>
        <v>0</v>
      </c>
      <c r="G66" s="351" t="str">
        <f t="shared" si="9"/>
        <v>NA</v>
      </c>
      <c r="H66" s="349">
        <v>0</v>
      </c>
      <c r="I66" s="349">
        <v>0</v>
      </c>
      <c r="J66" s="350">
        <f t="shared" si="12"/>
        <v>0</v>
      </c>
      <c r="K66" s="351" t="str">
        <f t="shared" si="13"/>
        <v>NA</v>
      </c>
      <c r="L66" s="352">
        <f t="shared" si="10"/>
        <v>0</v>
      </c>
      <c r="M66" s="351" t="str">
        <f t="shared" si="11"/>
        <v>NA</v>
      </c>
    </row>
    <row r="67" spans="1:13" x14ac:dyDescent="0.25">
      <c r="A67" s="366"/>
      <c r="B67" s="505"/>
      <c r="C67" s="506"/>
      <c r="D67" s="345">
        <v>0</v>
      </c>
      <c r="E67" s="345">
        <v>0</v>
      </c>
      <c r="F67" s="346">
        <f t="shared" si="8"/>
        <v>0</v>
      </c>
      <c r="G67" s="347" t="str">
        <f t="shared" si="9"/>
        <v>NA</v>
      </c>
      <c r="H67" s="345">
        <v>0</v>
      </c>
      <c r="I67" s="345">
        <v>0</v>
      </c>
      <c r="J67" s="346">
        <f t="shared" si="12"/>
        <v>0</v>
      </c>
      <c r="K67" s="347" t="str">
        <f t="shared" si="13"/>
        <v>NA</v>
      </c>
      <c r="L67" s="348">
        <f t="shared" si="10"/>
        <v>0</v>
      </c>
      <c r="M67" s="347" t="str">
        <f t="shared" si="11"/>
        <v>NA</v>
      </c>
    </row>
    <row r="68" spans="1:13" x14ac:dyDescent="0.25">
      <c r="A68" s="365"/>
      <c r="B68" s="503"/>
      <c r="C68" s="504"/>
      <c r="D68" s="349">
        <v>0</v>
      </c>
      <c r="E68" s="349">
        <v>0</v>
      </c>
      <c r="F68" s="350">
        <f t="shared" si="8"/>
        <v>0</v>
      </c>
      <c r="G68" s="351" t="str">
        <f t="shared" si="9"/>
        <v>NA</v>
      </c>
      <c r="H68" s="349">
        <v>0</v>
      </c>
      <c r="I68" s="349">
        <v>0</v>
      </c>
      <c r="J68" s="350">
        <f t="shared" si="12"/>
        <v>0</v>
      </c>
      <c r="K68" s="351" t="str">
        <f t="shared" si="13"/>
        <v>NA</v>
      </c>
      <c r="L68" s="352">
        <f t="shared" si="10"/>
        <v>0</v>
      </c>
      <c r="M68" s="351" t="str">
        <f t="shared" si="11"/>
        <v>NA</v>
      </c>
    </row>
    <row r="69" spans="1:13" x14ac:dyDescent="0.25">
      <c r="A69" s="366"/>
      <c r="B69" s="505"/>
      <c r="C69" s="506"/>
      <c r="D69" s="345">
        <v>0</v>
      </c>
      <c r="E69" s="345">
        <v>0</v>
      </c>
      <c r="F69" s="346">
        <f t="shared" si="8"/>
        <v>0</v>
      </c>
      <c r="G69" s="347" t="str">
        <f t="shared" si="9"/>
        <v>NA</v>
      </c>
      <c r="H69" s="345">
        <v>0</v>
      </c>
      <c r="I69" s="345">
        <v>0</v>
      </c>
      <c r="J69" s="346">
        <f t="shared" si="12"/>
        <v>0</v>
      </c>
      <c r="K69" s="347" t="str">
        <f t="shared" si="13"/>
        <v>NA</v>
      </c>
      <c r="L69" s="348">
        <f t="shared" si="10"/>
        <v>0</v>
      </c>
      <c r="M69" s="347" t="str">
        <f t="shared" si="11"/>
        <v>NA</v>
      </c>
    </row>
    <row r="70" spans="1:13" x14ac:dyDescent="0.25">
      <c r="A70" s="365"/>
      <c r="B70" s="503"/>
      <c r="C70" s="504"/>
      <c r="D70" s="349">
        <v>0</v>
      </c>
      <c r="E70" s="349">
        <v>0</v>
      </c>
      <c r="F70" s="350">
        <f t="shared" si="8"/>
        <v>0</v>
      </c>
      <c r="G70" s="351" t="str">
        <f t="shared" si="9"/>
        <v>NA</v>
      </c>
      <c r="H70" s="349">
        <v>0</v>
      </c>
      <c r="I70" s="349">
        <v>0</v>
      </c>
      <c r="J70" s="350">
        <f t="shared" si="12"/>
        <v>0</v>
      </c>
      <c r="K70" s="351" t="str">
        <f t="shared" si="13"/>
        <v>NA</v>
      </c>
      <c r="L70" s="352">
        <f t="shared" si="10"/>
        <v>0</v>
      </c>
      <c r="M70" s="351" t="str">
        <f t="shared" si="11"/>
        <v>NA</v>
      </c>
    </row>
    <row r="71" spans="1:13" x14ac:dyDescent="0.25">
      <c r="A71" s="366"/>
      <c r="B71" s="505"/>
      <c r="C71" s="506"/>
      <c r="D71" s="345">
        <v>0</v>
      </c>
      <c r="E71" s="345">
        <v>0</v>
      </c>
      <c r="F71" s="346">
        <f t="shared" si="8"/>
        <v>0</v>
      </c>
      <c r="G71" s="347" t="str">
        <f t="shared" si="9"/>
        <v>NA</v>
      </c>
      <c r="H71" s="345">
        <v>0</v>
      </c>
      <c r="I71" s="345">
        <v>0</v>
      </c>
      <c r="J71" s="346">
        <f t="shared" si="12"/>
        <v>0</v>
      </c>
      <c r="K71" s="347" t="str">
        <f t="shared" si="13"/>
        <v>NA</v>
      </c>
      <c r="L71" s="348">
        <f t="shared" si="10"/>
        <v>0</v>
      </c>
      <c r="M71" s="347" t="str">
        <f t="shared" si="11"/>
        <v>NA</v>
      </c>
    </row>
    <row r="72" spans="1:13" x14ac:dyDescent="0.25">
      <c r="A72" s="365"/>
      <c r="B72" s="503"/>
      <c r="C72" s="504"/>
      <c r="D72" s="349">
        <v>0</v>
      </c>
      <c r="E72" s="349">
        <v>0</v>
      </c>
      <c r="F72" s="350">
        <f t="shared" si="8"/>
        <v>0</v>
      </c>
      <c r="G72" s="351" t="str">
        <f t="shared" si="9"/>
        <v>NA</v>
      </c>
      <c r="H72" s="349">
        <v>0</v>
      </c>
      <c r="I72" s="349">
        <v>0</v>
      </c>
      <c r="J72" s="350">
        <f t="shared" si="12"/>
        <v>0</v>
      </c>
      <c r="K72" s="351" t="str">
        <f t="shared" si="13"/>
        <v>NA</v>
      </c>
      <c r="L72" s="352">
        <f t="shared" si="10"/>
        <v>0</v>
      </c>
      <c r="M72" s="351" t="str">
        <f t="shared" si="11"/>
        <v>NA</v>
      </c>
    </row>
    <row r="73" spans="1:13" x14ac:dyDescent="0.25">
      <c r="A73" s="366"/>
      <c r="B73" s="505"/>
      <c r="C73" s="506"/>
      <c r="D73" s="345">
        <v>0</v>
      </c>
      <c r="E73" s="345">
        <v>0</v>
      </c>
      <c r="F73" s="346">
        <f t="shared" ref="F73:F88" si="14">SUM(D73:E73)</f>
        <v>0</v>
      </c>
      <c r="G73" s="347" t="str">
        <f t="shared" ref="G73:G89" si="15">IFERROR((D73/F73),"NA")</f>
        <v>NA</v>
      </c>
      <c r="H73" s="345">
        <v>0</v>
      </c>
      <c r="I73" s="345">
        <v>0</v>
      </c>
      <c r="J73" s="346">
        <f t="shared" si="12"/>
        <v>0</v>
      </c>
      <c r="K73" s="347" t="str">
        <f t="shared" si="13"/>
        <v>NA</v>
      </c>
      <c r="L73" s="348">
        <f t="shared" ref="L73:L89" si="16">H73-D73</f>
        <v>0</v>
      </c>
      <c r="M73" s="347" t="str">
        <f t="shared" ref="M73:M89" si="17">IFERROR((H73/D73-1),"NA")</f>
        <v>NA</v>
      </c>
    </row>
    <row r="74" spans="1:13" x14ac:dyDescent="0.25">
      <c r="A74" s="365"/>
      <c r="B74" s="503"/>
      <c r="C74" s="504"/>
      <c r="D74" s="349">
        <v>0</v>
      </c>
      <c r="E74" s="349">
        <v>0</v>
      </c>
      <c r="F74" s="350">
        <f t="shared" si="14"/>
        <v>0</v>
      </c>
      <c r="G74" s="351" t="str">
        <f t="shared" si="15"/>
        <v>NA</v>
      </c>
      <c r="H74" s="349">
        <v>0</v>
      </c>
      <c r="I74" s="349">
        <v>0</v>
      </c>
      <c r="J74" s="350">
        <f t="shared" si="12"/>
        <v>0</v>
      </c>
      <c r="K74" s="351" t="str">
        <f t="shared" si="13"/>
        <v>NA</v>
      </c>
      <c r="L74" s="352">
        <f t="shared" si="16"/>
        <v>0</v>
      </c>
      <c r="M74" s="351" t="str">
        <f t="shared" si="17"/>
        <v>NA</v>
      </c>
    </row>
    <row r="75" spans="1:13" x14ac:dyDescent="0.25">
      <c r="A75" s="366"/>
      <c r="B75" s="505"/>
      <c r="C75" s="506"/>
      <c r="D75" s="345">
        <v>0</v>
      </c>
      <c r="E75" s="345">
        <v>0</v>
      </c>
      <c r="F75" s="346">
        <f t="shared" si="14"/>
        <v>0</v>
      </c>
      <c r="G75" s="347" t="str">
        <f t="shared" si="15"/>
        <v>NA</v>
      </c>
      <c r="H75" s="345">
        <v>0</v>
      </c>
      <c r="I75" s="345">
        <v>0</v>
      </c>
      <c r="J75" s="346">
        <f t="shared" si="12"/>
        <v>0</v>
      </c>
      <c r="K75" s="347" t="str">
        <f t="shared" si="13"/>
        <v>NA</v>
      </c>
      <c r="L75" s="348">
        <f t="shared" si="16"/>
        <v>0</v>
      </c>
      <c r="M75" s="347" t="str">
        <f t="shared" si="17"/>
        <v>NA</v>
      </c>
    </row>
    <row r="76" spans="1:13" x14ac:dyDescent="0.25">
      <c r="A76" s="365"/>
      <c r="B76" s="503"/>
      <c r="C76" s="504"/>
      <c r="D76" s="349">
        <v>0</v>
      </c>
      <c r="E76" s="349">
        <v>0</v>
      </c>
      <c r="F76" s="350">
        <f t="shared" si="14"/>
        <v>0</v>
      </c>
      <c r="G76" s="351" t="str">
        <f t="shared" si="15"/>
        <v>NA</v>
      </c>
      <c r="H76" s="349">
        <v>0</v>
      </c>
      <c r="I76" s="349">
        <v>0</v>
      </c>
      <c r="J76" s="350">
        <f t="shared" si="12"/>
        <v>0</v>
      </c>
      <c r="K76" s="351" t="str">
        <f t="shared" si="13"/>
        <v>NA</v>
      </c>
      <c r="L76" s="352">
        <f t="shared" si="16"/>
        <v>0</v>
      </c>
      <c r="M76" s="351" t="str">
        <f t="shared" si="17"/>
        <v>NA</v>
      </c>
    </row>
    <row r="77" spans="1:13" x14ac:dyDescent="0.25">
      <c r="A77" s="366"/>
      <c r="B77" s="505"/>
      <c r="C77" s="506"/>
      <c r="D77" s="345">
        <v>0</v>
      </c>
      <c r="E77" s="345">
        <v>0</v>
      </c>
      <c r="F77" s="346">
        <f t="shared" si="14"/>
        <v>0</v>
      </c>
      <c r="G77" s="347" t="str">
        <f t="shared" si="15"/>
        <v>NA</v>
      </c>
      <c r="H77" s="345">
        <v>0</v>
      </c>
      <c r="I77" s="345">
        <v>0</v>
      </c>
      <c r="J77" s="346">
        <f t="shared" si="12"/>
        <v>0</v>
      </c>
      <c r="K77" s="347" t="str">
        <f t="shared" si="13"/>
        <v>NA</v>
      </c>
      <c r="L77" s="348">
        <f t="shared" si="16"/>
        <v>0</v>
      </c>
      <c r="M77" s="347" t="str">
        <f t="shared" si="17"/>
        <v>NA</v>
      </c>
    </row>
    <row r="78" spans="1:13" x14ac:dyDescent="0.25">
      <c r="A78" s="365"/>
      <c r="B78" s="503"/>
      <c r="C78" s="504"/>
      <c r="D78" s="349">
        <v>0</v>
      </c>
      <c r="E78" s="349">
        <v>0</v>
      </c>
      <c r="F78" s="350">
        <f t="shared" si="14"/>
        <v>0</v>
      </c>
      <c r="G78" s="351" t="str">
        <f t="shared" si="15"/>
        <v>NA</v>
      </c>
      <c r="H78" s="349">
        <v>0</v>
      </c>
      <c r="I78" s="349">
        <v>0</v>
      </c>
      <c r="J78" s="350">
        <f t="shared" si="12"/>
        <v>0</v>
      </c>
      <c r="K78" s="351" t="str">
        <f t="shared" si="13"/>
        <v>NA</v>
      </c>
      <c r="L78" s="352">
        <f t="shared" si="16"/>
        <v>0</v>
      </c>
      <c r="M78" s="351" t="str">
        <f t="shared" si="17"/>
        <v>NA</v>
      </c>
    </row>
    <row r="79" spans="1:13" x14ac:dyDescent="0.25">
      <c r="A79" s="366"/>
      <c r="B79" s="505"/>
      <c r="C79" s="506"/>
      <c r="D79" s="345">
        <v>0</v>
      </c>
      <c r="E79" s="345">
        <v>0</v>
      </c>
      <c r="F79" s="346">
        <f t="shared" si="14"/>
        <v>0</v>
      </c>
      <c r="G79" s="347" t="str">
        <f t="shared" si="15"/>
        <v>NA</v>
      </c>
      <c r="H79" s="345">
        <v>0</v>
      </c>
      <c r="I79" s="345">
        <v>0</v>
      </c>
      <c r="J79" s="346">
        <f t="shared" si="12"/>
        <v>0</v>
      </c>
      <c r="K79" s="347" t="str">
        <f t="shared" si="13"/>
        <v>NA</v>
      </c>
      <c r="L79" s="348">
        <f t="shared" si="16"/>
        <v>0</v>
      </c>
      <c r="M79" s="347" t="str">
        <f t="shared" si="17"/>
        <v>NA</v>
      </c>
    </row>
    <row r="80" spans="1:13" x14ac:dyDescent="0.25">
      <c r="A80" s="365"/>
      <c r="B80" s="503"/>
      <c r="C80" s="504"/>
      <c r="D80" s="349">
        <v>0</v>
      </c>
      <c r="E80" s="349">
        <v>0</v>
      </c>
      <c r="F80" s="350">
        <f t="shared" si="14"/>
        <v>0</v>
      </c>
      <c r="G80" s="351" t="str">
        <f t="shared" si="15"/>
        <v>NA</v>
      </c>
      <c r="H80" s="349">
        <v>0</v>
      </c>
      <c r="I80" s="349">
        <v>0</v>
      </c>
      <c r="J80" s="350">
        <f t="shared" si="12"/>
        <v>0</v>
      </c>
      <c r="K80" s="351" t="str">
        <f t="shared" si="13"/>
        <v>NA</v>
      </c>
      <c r="L80" s="352">
        <f t="shared" si="16"/>
        <v>0</v>
      </c>
      <c r="M80" s="351" t="str">
        <f t="shared" si="17"/>
        <v>NA</v>
      </c>
    </row>
    <row r="81" spans="1:13" x14ac:dyDescent="0.25">
      <c r="A81" s="366"/>
      <c r="B81" s="505"/>
      <c r="C81" s="506"/>
      <c r="D81" s="345">
        <v>0</v>
      </c>
      <c r="E81" s="345">
        <v>0</v>
      </c>
      <c r="F81" s="346">
        <f t="shared" si="14"/>
        <v>0</v>
      </c>
      <c r="G81" s="347" t="str">
        <f t="shared" si="15"/>
        <v>NA</v>
      </c>
      <c r="H81" s="345">
        <v>0</v>
      </c>
      <c r="I81" s="345">
        <v>0</v>
      </c>
      <c r="J81" s="346">
        <f t="shared" si="12"/>
        <v>0</v>
      </c>
      <c r="K81" s="347" t="str">
        <f t="shared" si="13"/>
        <v>NA</v>
      </c>
      <c r="L81" s="348">
        <f t="shared" si="16"/>
        <v>0</v>
      </c>
      <c r="M81" s="347" t="str">
        <f t="shared" si="17"/>
        <v>NA</v>
      </c>
    </row>
    <row r="82" spans="1:13" x14ac:dyDescent="0.25">
      <c r="A82" s="365"/>
      <c r="B82" s="503"/>
      <c r="C82" s="504"/>
      <c r="D82" s="349">
        <v>0</v>
      </c>
      <c r="E82" s="349">
        <v>0</v>
      </c>
      <c r="F82" s="350">
        <f t="shared" si="14"/>
        <v>0</v>
      </c>
      <c r="G82" s="351" t="str">
        <f t="shared" si="15"/>
        <v>NA</v>
      </c>
      <c r="H82" s="349">
        <v>0</v>
      </c>
      <c r="I82" s="349">
        <v>0</v>
      </c>
      <c r="J82" s="350">
        <f t="shared" si="12"/>
        <v>0</v>
      </c>
      <c r="K82" s="351" t="str">
        <f t="shared" si="13"/>
        <v>NA</v>
      </c>
      <c r="L82" s="352">
        <f t="shared" si="16"/>
        <v>0</v>
      </c>
      <c r="M82" s="351" t="str">
        <f t="shared" si="17"/>
        <v>NA</v>
      </c>
    </row>
    <row r="83" spans="1:13" x14ac:dyDescent="0.25">
      <c r="A83" s="366"/>
      <c r="B83" s="505"/>
      <c r="C83" s="506"/>
      <c r="D83" s="345">
        <v>0</v>
      </c>
      <c r="E83" s="345">
        <v>0</v>
      </c>
      <c r="F83" s="346">
        <f t="shared" si="14"/>
        <v>0</v>
      </c>
      <c r="G83" s="347" t="str">
        <f t="shared" si="15"/>
        <v>NA</v>
      </c>
      <c r="H83" s="345">
        <v>0</v>
      </c>
      <c r="I83" s="345">
        <v>0</v>
      </c>
      <c r="J83" s="346">
        <f t="shared" si="12"/>
        <v>0</v>
      </c>
      <c r="K83" s="347" t="str">
        <f t="shared" si="13"/>
        <v>NA</v>
      </c>
      <c r="L83" s="348">
        <f t="shared" si="16"/>
        <v>0</v>
      </c>
      <c r="M83" s="347" t="str">
        <f t="shared" si="17"/>
        <v>NA</v>
      </c>
    </row>
    <row r="84" spans="1:13" x14ac:dyDescent="0.25">
      <c r="A84" s="365"/>
      <c r="B84" s="503"/>
      <c r="C84" s="504"/>
      <c r="D84" s="349">
        <v>0</v>
      </c>
      <c r="E84" s="349">
        <v>0</v>
      </c>
      <c r="F84" s="350">
        <f t="shared" si="14"/>
        <v>0</v>
      </c>
      <c r="G84" s="351" t="str">
        <f t="shared" si="15"/>
        <v>NA</v>
      </c>
      <c r="H84" s="349">
        <v>0</v>
      </c>
      <c r="I84" s="349">
        <v>0</v>
      </c>
      <c r="J84" s="350">
        <f t="shared" si="12"/>
        <v>0</v>
      </c>
      <c r="K84" s="351" t="str">
        <f t="shared" si="13"/>
        <v>NA</v>
      </c>
      <c r="L84" s="352">
        <f t="shared" si="16"/>
        <v>0</v>
      </c>
      <c r="M84" s="351" t="str">
        <f t="shared" si="17"/>
        <v>NA</v>
      </c>
    </row>
    <row r="85" spans="1:13" x14ac:dyDescent="0.25">
      <c r="A85" s="369"/>
      <c r="B85" s="505"/>
      <c r="C85" s="506"/>
      <c r="D85" s="345">
        <v>0</v>
      </c>
      <c r="E85" s="345">
        <v>0</v>
      </c>
      <c r="F85" s="346">
        <f t="shared" si="14"/>
        <v>0</v>
      </c>
      <c r="G85" s="347" t="str">
        <f t="shared" si="15"/>
        <v>NA</v>
      </c>
      <c r="H85" s="345">
        <v>0</v>
      </c>
      <c r="I85" s="345">
        <v>0</v>
      </c>
      <c r="J85" s="346">
        <f>SUM(H85:I85)</f>
        <v>0</v>
      </c>
      <c r="K85" s="347" t="str">
        <f t="shared" si="13"/>
        <v>NA</v>
      </c>
      <c r="L85" s="348">
        <f t="shared" si="16"/>
        <v>0</v>
      </c>
      <c r="M85" s="347" t="str">
        <f t="shared" si="17"/>
        <v>NA</v>
      </c>
    </row>
    <row r="86" spans="1:13" x14ac:dyDescent="0.25">
      <c r="A86" s="368"/>
      <c r="B86" s="503"/>
      <c r="C86" s="504"/>
      <c r="D86" s="349">
        <v>0</v>
      </c>
      <c r="E86" s="349">
        <v>0</v>
      </c>
      <c r="F86" s="350">
        <f t="shared" si="14"/>
        <v>0</v>
      </c>
      <c r="G86" s="351" t="str">
        <f t="shared" si="15"/>
        <v>NA</v>
      </c>
      <c r="H86" s="349">
        <v>0</v>
      </c>
      <c r="I86" s="349">
        <v>0</v>
      </c>
      <c r="J86" s="350">
        <f t="shared" si="12"/>
        <v>0</v>
      </c>
      <c r="K86" s="351" t="str">
        <f t="shared" si="13"/>
        <v>NA</v>
      </c>
      <c r="L86" s="352">
        <f>H86-D86</f>
        <v>0</v>
      </c>
      <c r="M86" s="351" t="str">
        <f t="shared" si="17"/>
        <v>NA</v>
      </c>
    </row>
    <row r="87" spans="1:13" x14ac:dyDescent="0.25">
      <c r="A87" s="369"/>
      <c r="B87" s="505"/>
      <c r="C87" s="506"/>
      <c r="D87" s="345">
        <v>0</v>
      </c>
      <c r="E87" s="345">
        <v>0</v>
      </c>
      <c r="F87" s="346">
        <f t="shared" si="14"/>
        <v>0</v>
      </c>
      <c r="G87" s="347" t="str">
        <f t="shared" si="15"/>
        <v>NA</v>
      </c>
      <c r="H87" s="345">
        <v>0</v>
      </c>
      <c r="I87" s="345">
        <v>0</v>
      </c>
      <c r="J87" s="346">
        <f t="shared" si="12"/>
        <v>0</v>
      </c>
      <c r="K87" s="347" t="str">
        <f t="shared" si="13"/>
        <v>NA</v>
      </c>
      <c r="L87" s="348">
        <f t="shared" si="16"/>
        <v>0</v>
      </c>
      <c r="M87" s="347" t="str">
        <f t="shared" si="17"/>
        <v>NA</v>
      </c>
    </row>
    <row r="88" spans="1:13" x14ac:dyDescent="0.25">
      <c r="A88" s="365"/>
      <c r="B88" s="503"/>
      <c r="C88" s="504"/>
      <c r="D88" s="349">
        <v>0</v>
      </c>
      <c r="E88" s="349">
        <v>0</v>
      </c>
      <c r="F88" s="350">
        <f t="shared" si="14"/>
        <v>0</v>
      </c>
      <c r="G88" s="351" t="str">
        <f t="shared" si="15"/>
        <v>NA</v>
      </c>
      <c r="H88" s="349">
        <v>0</v>
      </c>
      <c r="I88" s="349">
        <v>0</v>
      </c>
      <c r="J88" s="350">
        <f t="shared" si="6"/>
        <v>0</v>
      </c>
      <c r="K88" s="351" t="str">
        <f t="shared" ref="K88" si="18">IFERROR((H88/J88),"NA")</f>
        <v>NA</v>
      </c>
      <c r="L88" s="352">
        <f t="shared" si="16"/>
        <v>0</v>
      </c>
      <c r="M88" s="351" t="str">
        <f t="shared" si="17"/>
        <v>NA</v>
      </c>
    </row>
    <row r="89" spans="1:13" ht="21" x14ac:dyDescent="0.25">
      <c r="A89" s="519" t="s">
        <v>48</v>
      </c>
      <c r="B89" s="519"/>
      <c r="C89" s="519"/>
      <c r="D89" s="354">
        <f>SUM(D9:D88)</f>
        <v>0</v>
      </c>
      <c r="E89" s="354">
        <f>SUM(E9:E88)</f>
        <v>0</v>
      </c>
      <c r="F89" s="354">
        <f>SUM(F9:F88)</f>
        <v>0</v>
      </c>
      <c r="G89" s="359" t="str">
        <f t="shared" si="15"/>
        <v>NA</v>
      </c>
      <c r="H89" s="354">
        <f>SUM(H9:H88)</f>
        <v>0</v>
      </c>
      <c r="I89" s="354">
        <f>SUM(I9:I88)</f>
        <v>0</v>
      </c>
      <c r="J89" s="358">
        <f>SUM(J9:J88)</f>
        <v>0</v>
      </c>
      <c r="K89" s="355" t="str">
        <f>IFERROR((H89/J89),"NA")</f>
        <v>NA</v>
      </c>
      <c r="L89" s="356">
        <f t="shared" si="16"/>
        <v>0</v>
      </c>
      <c r="M89" s="357" t="str">
        <f t="shared" si="17"/>
        <v>NA</v>
      </c>
    </row>
    <row r="90" spans="1:13" ht="4.5" customHeight="1" x14ac:dyDescent="0.25"/>
    <row r="91" spans="1:13" ht="17.25" x14ac:dyDescent="0.25">
      <c r="A91" s="123" t="s">
        <v>358</v>
      </c>
    </row>
    <row r="92" spans="1:13" x14ac:dyDescent="0.25">
      <c r="A92" s="123"/>
    </row>
  </sheetData>
  <sheetProtection algorithmName="SHA-512" hashValue="OcPP0YREQAr0y4BhbqZsQcoisNEk1pBDlZVRK9x1UMyEqg3G58PCHta8VI3zTRg2AqwnbqLheIIKqbHpqYX0cQ==" saltValue="zRiOujwMaXNujcR7TKkqMg==" spinCount="100000" sheet="1" objects="1" scenarios="1" insertColumns="0" insertRows="0" insertHyperlinks="0" deleteColumns="0" deleteRows="0" selectLockedCells="1" sort="0" autoFilter="0" pivotTables="0"/>
  <mergeCells count="86">
    <mergeCell ref="B85:C85"/>
    <mergeCell ref="B86:C86"/>
    <mergeCell ref="B87:C87"/>
    <mergeCell ref="B88:C88"/>
    <mergeCell ref="B78:C78"/>
    <mergeCell ref="B80:C80"/>
    <mergeCell ref="B82:C82"/>
    <mergeCell ref="B83:C83"/>
    <mergeCell ref="B84:C84"/>
    <mergeCell ref="B81:C81"/>
    <mergeCell ref="B28:C28"/>
    <mergeCell ref="B30:C30"/>
    <mergeCell ref="B32:C32"/>
    <mergeCell ref="B34:C34"/>
    <mergeCell ref="B36:C36"/>
    <mergeCell ref="B29:C29"/>
    <mergeCell ref="B31:C31"/>
    <mergeCell ref="B33:C33"/>
    <mergeCell ref="B35:C35"/>
    <mergeCell ref="B18:C18"/>
    <mergeCell ref="B20:C20"/>
    <mergeCell ref="B22:C22"/>
    <mergeCell ref="B24:C24"/>
    <mergeCell ref="B26:C26"/>
    <mergeCell ref="D7:G7"/>
    <mergeCell ref="H7:K7"/>
    <mergeCell ref="L7:M7"/>
    <mergeCell ref="B8:C8"/>
    <mergeCell ref="B15:C15"/>
    <mergeCell ref="B16:C16"/>
    <mergeCell ref="A89:C89"/>
    <mergeCell ref="A7:C7"/>
    <mergeCell ref="B17:C17"/>
    <mergeCell ref="B19:C19"/>
    <mergeCell ref="B21:C21"/>
    <mergeCell ref="B9:C9"/>
    <mergeCell ref="B10:C10"/>
    <mergeCell ref="B11:C11"/>
    <mergeCell ref="B12:C12"/>
    <mergeCell ref="B13:C13"/>
    <mergeCell ref="B14:C14"/>
    <mergeCell ref="B45:C45"/>
    <mergeCell ref="B23:C23"/>
    <mergeCell ref="B25:C25"/>
    <mergeCell ref="B27:C27"/>
    <mergeCell ref="B47:C47"/>
    <mergeCell ref="B49:C49"/>
    <mergeCell ref="B51:C51"/>
    <mergeCell ref="B53:C53"/>
    <mergeCell ref="B71:C71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5:C75"/>
    <mergeCell ref="B77:C77"/>
    <mergeCell ref="B79:C79"/>
    <mergeCell ref="B48:C48"/>
    <mergeCell ref="B50:C50"/>
    <mergeCell ref="B54:C54"/>
    <mergeCell ref="B55:C55"/>
    <mergeCell ref="B56:C56"/>
    <mergeCell ref="B57:C57"/>
    <mergeCell ref="B52:C52"/>
    <mergeCell ref="B69:C69"/>
    <mergeCell ref="B70:C70"/>
    <mergeCell ref="B72:C72"/>
    <mergeCell ref="B74:C74"/>
    <mergeCell ref="B73:C73"/>
    <mergeCell ref="B76:C76"/>
    <mergeCell ref="B44:C44"/>
    <mergeCell ref="B46:C46"/>
    <mergeCell ref="B37:C37"/>
    <mergeCell ref="B39:C39"/>
    <mergeCell ref="B41:C41"/>
    <mergeCell ref="B43:C43"/>
    <mergeCell ref="B38:C38"/>
    <mergeCell ref="B40:C40"/>
    <mergeCell ref="B42:C42"/>
  </mergeCells>
  <pageMargins left="0.7" right="0.7" top="0.75" bottom="0.75" header="0.3" footer="0.3"/>
  <pageSetup scale="50" orientation="portrait" r:id="rId1"/>
  <headerFooter differentOddEven="1">
    <oddFooter>&amp;CSaudi Aramco: Confidential</oddFooter>
    <evenFooter>&amp;CSaudi Aramco: Confidential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Executive Summary</vt:lpstr>
      <vt:lpstr>Data</vt:lpstr>
      <vt:lpstr>Review 1</vt:lpstr>
      <vt:lpstr>Page 1. Company Information</vt:lpstr>
      <vt:lpstr>Page 2. IKTVA Schedule</vt:lpstr>
      <vt:lpstr>Page 3. In-Kingdom Suppliers</vt:lpstr>
      <vt:lpstr>Page 4. Top OOK Suppliers</vt:lpstr>
      <vt:lpstr>Page 4. Saudi Jobs</vt:lpstr>
      <vt:lpstr>Page 4. Saudi Jobs - Old</vt:lpstr>
      <vt:lpstr>Page 5. Capital Investmests</vt:lpstr>
      <vt:lpstr>Page 5a. CAPEX Table</vt:lpstr>
      <vt:lpstr>CAPEX Categories</vt:lpstr>
      <vt:lpstr>Page 6. Depreciation &amp; Amort</vt:lpstr>
      <vt:lpstr>Page 7. Female Employment</vt:lpstr>
      <vt:lpstr>IKTVA Certificate</vt:lpstr>
      <vt:lpstr>Modifications</vt:lpstr>
      <vt:lpstr>Flat File</vt:lpstr>
      <vt:lpstr>'CAPEX Categories'!Print_Area</vt:lpstr>
      <vt:lpstr>'Page 5a. CAPEX Table'!Print_Area</vt:lpstr>
      <vt:lpstr>'Page 5a. CAPEX Table'!Print_Titles</vt:lpstr>
      <vt:lpstr>Y_N?</vt:lpstr>
    </vt:vector>
  </TitlesOfParts>
  <Company>Aramco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Ayoub, Abdulrahman A</dc:creator>
  <cp:keywords>Confidential</cp:keywords>
  <cp:lastModifiedBy>Brad Nielson</cp:lastModifiedBy>
  <cp:lastPrinted>2018-07-11T09:50:38Z</cp:lastPrinted>
  <dcterms:created xsi:type="dcterms:W3CDTF">2014-12-29T05:32:44Z</dcterms:created>
  <dcterms:modified xsi:type="dcterms:W3CDTF">2018-07-11T09:51:00Z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f858dd0b-ad15-49fe-bd1b-c4af6b261dc1</vt:lpwstr>
  </property>
  <property fmtid="{D5CDD505-2E9C-101B-9397-08002B2CF9AE}" pid="3" name="ARMCOClassification">
    <vt:lpwstr>Public</vt:lpwstr>
  </property>
  <property fmtid="{D5CDD505-2E9C-101B-9397-08002B2CF9AE}" pid="4" name="Editor">
    <vt:lpwstr>nielsobt</vt:lpwstr>
  </property>
  <property fmtid="{D5CDD505-2E9C-101B-9397-08002B2CF9AE}" pid="5" name="Last Modification date">
    <vt:lpwstr>2018-05-23</vt:lpwstr>
  </property>
  <property fmtid="{D5CDD505-2E9C-101B-9397-08002B2CF9AE}" pid="6" name="Last Modification time">
    <vt:lpwstr>7:17:21 AM</vt:lpwstr>
  </property>
  <property fmtid="{D5CDD505-2E9C-101B-9397-08002B2CF9AE}" pid="7" name="Classification">
    <vt:lpwstr>Confidential</vt:lpwstr>
  </property>
</Properties>
</file>